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17"/>
  <workbookPr/>
  <mc:AlternateContent xmlns:mc="http://schemas.openxmlformats.org/markup-compatibility/2006">
    <mc:Choice Requires="x15">
      <x15ac:absPath xmlns:x15ac="http://schemas.microsoft.com/office/spreadsheetml/2010/11/ac" url="R:\Secured\Policy_Advice_and_Research\Research and Evaluation Branch\4. Evidence Service\Projects\Internal\2020-2021 Social, community and Civic Partic SR\7. Data extraction\"/>
    </mc:Choice>
  </mc:AlternateContent>
  <xr:revisionPtr revIDLastSave="747" documentId="1_{C7B67D1B-4B9C-4575-B1B0-4D22F81CFF0E}" xr6:coauthVersionLast="47" xr6:coauthVersionMax="47" xr10:uidLastSave="{7990B934-01E1-4D01-B2FE-51AFF9BBC8DF}"/>
  <bookViews>
    <workbookView xWindow="0" yWindow="0" windowWidth="3255" windowHeight="4245" firstSheet="1" activeTab="1" xr2:uid="{00000000-000D-0000-FFFF-FFFF00000000}"/>
  </bookViews>
  <sheets>
    <sheet name="UR eligibility criteria" sheetId="4" r:id="rId1"/>
    <sheet name="SR characteristics" sheetId="1" r:id="rId2"/>
    <sheet name="AMSTAR" sheetId="7" r:id="rId3"/>
    <sheet name="lists" sheetId="2" r:id="rId4"/>
    <sheet name="SR summary stat calculations" sheetId="5" r:id="rId5"/>
    <sheet name="Schepens 2018 QoL" sheetId="8" r:id="rId6"/>
  </sheets>
  <definedNames>
    <definedName name="_xlnm._FilterDatabase" localSheetId="1" hidden="1">'SR characteristics'!$A$3:$FG$3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A68" i="7" l="1"/>
  <c r="AZ68" i="7"/>
  <c r="AW68" i="7"/>
  <c r="AV68" i="7"/>
  <c r="AS68" i="7"/>
  <c r="AO68" i="7"/>
  <c r="AL68" i="7"/>
  <c r="AN68" i="7"/>
  <c r="AL56" i="7"/>
  <c r="AM56" i="7"/>
  <c r="AN56" i="7"/>
  <c r="AO56" i="7"/>
  <c r="AP56" i="7"/>
  <c r="AQ56" i="7"/>
  <c r="AR56" i="7"/>
  <c r="AS56" i="7"/>
  <c r="AT56" i="7"/>
  <c r="AU56" i="7"/>
  <c r="AV56" i="7"/>
  <c r="AW56" i="7"/>
  <c r="AX56" i="7"/>
  <c r="AY56" i="7"/>
  <c r="AZ56" i="7"/>
  <c r="BA56" i="7"/>
  <c r="BC56" i="7"/>
  <c r="BD56" i="7"/>
  <c r="BE56" i="7"/>
  <c r="BF56" i="7"/>
  <c r="FF62" i="1" s="1"/>
  <c r="BG56" i="7"/>
  <c r="FE62" i="1" s="1"/>
  <c r="BH56" i="7"/>
  <c r="AL57" i="7"/>
  <c r="AM57" i="7"/>
  <c r="AN57" i="7"/>
  <c r="AO57" i="7"/>
  <c r="AP57" i="7"/>
  <c r="AQ57" i="7"/>
  <c r="AR57" i="7"/>
  <c r="AS57" i="7"/>
  <c r="AT57" i="7"/>
  <c r="AU57" i="7"/>
  <c r="AV57" i="7"/>
  <c r="AW57" i="7"/>
  <c r="AX57" i="7"/>
  <c r="AY57" i="7"/>
  <c r="AZ57" i="7"/>
  <c r="BA57" i="7"/>
  <c r="BC57" i="7"/>
  <c r="BD57" i="7"/>
  <c r="BE57" i="7"/>
  <c r="BF57" i="7"/>
  <c r="FF63" i="1" s="1"/>
  <c r="BG57" i="7"/>
  <c r="FE63" i="1" s="1"/>
  <c r="BH57" i="7"/>
  <c r="AL58" i="7"/>
  <c r="AM58" i="7"/>
  <c r="AN58" i="7"/>
  <c r="AO58" i="7"/>
  <c r="AP58" i="7"/>
  <c r="AQ58" i="7"/>
  <c r="AR58" i="7"/>
  <c r="AS58" i="7"/>
  <c r="AT58" i="7"/>
  <c r="AU58" i="7"/>
  <c r="AV58" i="7"/>
  <c r="AW58" i="7"/>
  <c r="AX58" i="7"/>
  <c r="AY58" i="7"/>
  <c r="AZ58" i="7"/>
  <c r="BA58" i="7"/>
  <c r="BC58" i="7"/>
  <c r="BD58" i="7"/>
  <c r="BE58" i="7"/>
  <c r="BF58" i="7"/>
  <c r="FF64" i="1" s="1"/>
  <c r="BG58" i="7"/>
  <c r="FE64" i="1" s="1"/>
  <c r="BH58" i="7"/>
  <c r="AL59" i="7"/>
  <c r="AM59" i="7"/>
  <c r="AN59" i="7"/>
  <c r="AO59" i="7"/>
  <c r="AP59" i="7"/>
  <c r="AQ59" i="7"/>
  <c r="AR59" i="7"/>
  <c r="AS59" i="7"/>
  <c r="AT59" i="7"/>
  <c r="AU59" i="7"/>
  <c r="AV59" i="7"/>
  <c r="AW59" i="7"/>
  <c r="AX59" i="7"/>
  <c r="AY59" i="7"/>
  <c r="AZ59" i="7"/>
  <c r="BA59" i="7"/>
  <c r="BC59" i="7"/>
  <c r="BD59" i="7"/>
  <c r="BE59" i="7"/>
  <c r="BF59" i="7"/>
  <c r="FF65" i="1" s="1"/>
  <c r="BG59" i="7"/>
  <c r="FE65" i="1" s="1"/>
  <c r="BH59" i="7"/>
  <c r="AL60" i="7"/>
  <c r="AM60" i="7"/>
  <c r="AN60" i="7"/>
  <c r="AO60" i="7"/>
  <c r="AP60" i="7"/>
  <c r="AQ60" i="7"/>
  <c r="AR60" i="7"/>
  <c r="AS60" i="7"/>
  <c r="AT60" i="7"/>
  <c r="AU60" i="7"/>
  <c r="AV60" i="7"/>
  <c r="AW60" i="7"/>
  <c r="AX60" i="7"/>
  <c r="AY60" i="7"/>
  <c r="AZ60" i="7"/>
  <c r="BA60" i="7"/>
  <c r="BC60" i="7"/>
  <c r="BD60" i="7"/>
  <c r="BE60" i="7"/>
  <c r="BF60" i="7"/>
  <c r="FF66" i="1" s="1"/>
  <c r="BG60" i="7"/>
  <c r="FE66" i="1" s="1"/>
  <c r="BH60" i="7"/>
  <c r="AL61" i="7"/>
  <c r="AM61" i="7"/>
  <c r="AN61" i="7"/>
  <c r="AO61" i="7"/>
  <c r="AP61" i="7"/>
  <c r="AQ61" i="7"/>
  <c r="AR61" i="7"/>
  <c r="AS61" i="7"/>
  <c r="AT61" i="7"/>
  <c r="AU61" i="7"/>
  <c r="AV61" i="7"/>
  <c r="AW61" i="7"/>
  <c r="AX61" i="7"/>
  <c r="AY61" i="7"/>
  <c r="AZ61" i="7"/>
  <c r="BA61" i="7"/>
  <c r="BC61" i="7"/>
  <c r="BD61" i="7"/>
  <c r="BE61" i="7"/>
  <c r="BF61" i="7"/>
  <c r="FF67" i="1" s="1"/>
  <c r="BG61" i="7"/>
  <c r="FE67" i="1" s="1"/>
  <c r="BH61" i="7"/>
  <c r="AL62" i="7"/>
  <c r="AM62" i="7"/>
  <c r="AN62" i="7"/>
  <c r="AO62" i="7"/>
  <c r="AP62" i="7"/>
  <c r="AQ62" i="7"/>
  <c r="AR62" i="7"/>
  <c r="AS62" i="7"/>
  <c r="AT62" i="7"/>
  <c r="AU62" i="7"/>
  <c r="AV62" i="7"/>
  <c r="AW62" i="7"/>
  <c r="AX62" i="7"/>
  <c r="AY62" i="7"/>
  <c r="AZ62" i="7"/>
  <c r="BA62" i="7"/>
  <c r="BC62" i="7"/>
  <c r="BD62" i="7"/>
  <c r="BE62" i="7"/>
  <c r="BF62" i="7"/>
  <c r="FF68" i="1" s="1"/>
  <c r="BG62" i="7"/>
  <c r="FE68" i="1" s="1"/>
  <c r="BH62" i="7"/>
  <c r="AL63" i="7"/>
  <c r="AM63" i="7"/>
  <c r="AN63" i="7"/>
  <c r="AO63" i="7"/>
  <c r="AP63" i="7"/>
  <c r="AQ63" i="7"/>
  <c r="AR63" i="7"/>
  <c r="AS63" i="7"/>
  <c r="AT63" i="7"/>
  <c r="AU63" i="7"/>
  <c r="AV63" i="7"/>
  <c r="AW63" i="7"/>
  <c r="AX63" i="7"/>
  <c r="AY63" i="7"/>
  <c r="AZ63" i="7"/>
  <c r="BA63" i="7"/>
  <c r="BC63" i="7"/>
  <c r="BD63" i="7"/>
  <c r="BE63" i="7"/>
  <c r="BF63" i="7"/>
  <c r="FF69" i="1" s="1"/>
  <c r="BG63" i="7"/>
  <c r="FE69" i="1" s="1"/>
  <c r="BH63" i="7"/>
  <c r="CK61" i="1"/>
  <c r="CA61" i="1"/>
  <c r="BV61" i="1"/>
  <c r="AI61" i="1"/>
  <c r="F76" i="1"/>
  <c r="H76" i="1"/>
  <c r="AI60" i="1"/>
  <c r="AI59" i="1"/>
  <c r="AI58" i="1"/>
  <c r="AI57" i="1"/>
  <c r="AI56" i="1"/>
  <c r="AI55" i="1"/>
  <c r="AI54" i="1"/>
  <c r="AI53" i="1"/>
  <c r="AI52" i="1"/>
  <c r="AI51" i="1"/>
  <c r="AI50" i="1"/>
  <c r="AI49" i="1"/>
  <c r="AI48" i="1"/>
  <c r="AI47" i="1"/>
  <c r="AI46" i="1"/>
  <c r="AI45" i="1"/>
  <c r="AI44" i="1"/>
  <c r="AI43" i="1"/>
  <c r="AI42" i="1"/>
  <c r="AI41" i="1"/>
  <c r="AI39" i="1"/>
  <c r="AI38" i="1"/>
  <c r="AI37" i="1"/>
  <c r="AI36" i="1"/>
  <c r="AI35" i="1"/>
  <c r="AI34" i="1"/>
  <c r="AI33" i="1"/>
  <c r="AI32" i="1"/>
  <c r="AI30" i="1"/>
  <c r="AI29" i="1"/>
  <c r="AI28" i="1"/>
  <c r="AI27" i="1"/>
  <c r="AI26" i="1"/>
  <c r="AI25" i="1"/>
  <c r="AI24" i="1"/>
  <c r="AI23" i="1"/>
  <c r="AI22" i="1"/>
  <c r="AI21" i="1"/>
  <c r="AI20" i="1"/>
  <c r="AI19" i="1"/>
  <c r="AI18" i="1"/>
  <c r="AI17" i="1"/>
  <c r="AI16" i="1"/>
  <c r="AI15" i="1"/>
  <c r="AI14" i="1"/>
  <c r="AI5" i="1"/>
  <c r="AI6" i="1"/>
  <c r="AI7" i="1"/>
  <c r="AI8" i="1"/>
  <c r="AI9" i="1"/>
  <c r="AI10" i="1"/>
  <c r="AI11" i="1"/>
  <c r="AI4" i="1"/>
  <c r="AI77" i="1" s="1"/>
  <c r="AN80" i="1"/>
  <c r="AN79" i="1"/>
  <c r="AN78" i="1"/>
  <c r="AN81" i="1" s="1"/>
  <c r="AL80" i="1"/>
  <c r="AL79" i="1"/>
  <c r="AL78" i="1"/>
  <c r="AL81" i="1" s="1"/>
  <c r="AJ78" i="1"/>
  <c r="AJ79" i="1"/>
  <c r="AJ80" i="1"/>
  <c r="BJ84" i="1"/>
  <c r="BH84" i="1"/>
  <c r="BF84" i="1"/>
  <c r="BD84" i="1"/>
  <c r="BB84" i="1"/>
  <c r="AZ84" i="1"/>
  <c r="AX84" i="1"/>
  <c r="AV84" i="1"/>
  <c r="AU84" i="1"/>
  <c r="AV77" i="1"/>
  <c r="AV78" i="1"/>
  <c r="AV79" i="1"/>
  <c r="AV80" i="1"/>
  <c r="AV81" i="1"/>
  <c r="BJ77" i="1"/>
  <c r="BH77" i="1"/>
  <c r="BF77" i="1"/>
  <c r="BD77" i="1"/>
  <c r="BB77" i="1"/>
  <c r="AZ77" i="1"/>
  <c r="AX77" i="1"/>
  <c r="AU77" i="1"/>
  <c r="AU78" i="1"/>
  <c r="BJ79" i="1"/>
  <c r="BJ78" i="1"/>
  <c r="BH79" i="1"/>
  <c r="BH78" i="1"/>
  <c r="BF79" i="1"/>
  <c r="BF78" i="1"/>
  <c r="BD79" i="1"/>
  <c r="BD78" i="1"/>
  <c r="BB79" i="1"/>
  <c r="BB78" i="1"/>
  <c r="AZ79" i="1"/>
  <c r="AZ78" i="1"/>
  <c r="AX79" i="1"/>
  <c r="AX78" i="1"/>
  <c r="AU79" i="1"/>
  <c r="AU80" i="1"/>
  <c r="BJ80" i="1"/>
  <c r="BH80" i="1"/>
  <c r="BF80" i="1"/>
  <c r="BD80" i="1"/>
  <c r="BB80" i="1"/>
  <c r="AZ80" i="1"/>
  <c r="AX80" i="1"/>
  <c r="ET83" i="1"/>
  <c r="ET82" i="1"/>
  <c r="ET81" i="1"/>
  <c r="G82" i="1"/>
  <c r="F77" i="1"/>
  <c r="H77" i="1" s="1"/>
  <c r="F81" i="1"/>
  <c r="H81" i="1" s="1"/>
  <c r="F80" i="1"/>
  <c r="H80" i="1" s="1"/>
  <c r="F79" i="1"/>
  <c r="H79" i="1" s="1"/>
  <c r="F78" i="1"/>
  <c r="ET80" i="1"/>
  <c r="ET79" i="1"/>
  <c r="ET78" i="1"/>
  <c r="ET84" i="1" s="1"/>
  <c r="BB64" i="7"/>
  <c r="BB65" i="7"/>
  <c r="BB66" i="7"/>
  <c r="BB67" i="7"/>
  <c r="AS14" i="7"/>
  <c r="G672" i="5"/>
  <c r="G673" i="5"/>
  <c r="G675" i="5"/>
  <c r="G676" i="5"/>
  <c r="G677" i="5"/>
  <c r="G678" i="5"/>
  <c r="G663" i="5"/>
  <c r="G664" i="5"/>
  <c r="G665" i="5"/>
  <c r="G666" i="5"/>
  <c r="G667" i="5"/>
  <c r="G668" i="5"/>
  <c r="G669" i="5"/>
  <c r="G670" i="5"/>
  <c r="G671" i="5"/>
  <c r="G661" i="5"/>
  <c r="G353" i="5"/>
  <c r="G352" i="5"/>
  <c r="G351" i="5"/>
  <c r="C74" i="5"/>
  <c r="I315" i="5"/>
  <c r="H315" i="5"/>
  <c r="G315" i="5" s="1"/>
  <c r="G313" i="5"/>
  <c r="G312" i="5"/>
  <c r="G311" i="5"/>
  <c r="G310" i="5"/>
  <c r="G309" i="5"/>
  <c r="G308" i="5"/>
  <c r="G307" i="5"/>
  <c r="G306" i="5"/>
  <c r="G302" i="5"/>
  <c r="G301" i="5"/>
  <c r="P315" i="5"/>
  <c r="G632" i="5"/>
  <c r="G627" i="5"/>
  <c r="G624" i="5"/>
  <c r="G625" i="5"/>
  <c r="G619" i="5"/>
  <c r="G626" i="5"/>
  <c r="G614" i="5"/>
  <c r="H613" i="5"/>
  <c r="G613" i="5" s="1"/>
  <c r="H612" i="5"/>
  <c r="G612" i="5" s="1"/>
  <c r="G611" i="5"/>
  <c r="G605" i="5"/>
  <c r="H618" i="5"/>
  <c r="G618" i="5" s="1"/>
  <c r="H617" i="5"/>
  <c r="G617" i="5" s="1"/>
  <c r="C604" i="5"/>
  <c r="H604" i="5"/>
  <c r="G604" i="5" s="1"/>
  <c r="H603" i="5"/>
  <c r="G603" i="5" s="1"/>
  <c r="C602" i="5"/>
  <c r="G602" i="5" s="1"/>
  <c r="G606" i="5"/>
  <c r="G631" i="5"/>
  <c r="G629" i="5"/>
  <c r="H610" i="5"/>
  <c r="G610" i="5" s="1"/>
  <c r="C609" i="5"/>
  <c r="G609" i="5" s="1"/>
  <c r="G643" i="5"/>
  <c r="G645" i="5"/>
  <c r="G641" i="5"/>
  <c r="G640" i="5"/>
  <c r="G639" i="5"/>
  <c r="G637" i="5"/>
  <c r="G636" i="5"/>
  <c r="G635" i="5"/>
  <c r="CK18" i="1"/>
  <c r="CA18" i="1"/>
  <c r="BV18" i="1"/>
  <c r="C725" i="5"/>
  <c r="AL16" i="7"/>
  <c r="AM16" i="7"/>
  <c r="AN16" i="7"/>
  <c r="AO16" i="7"/>
  <c r="AP16" i="7"/>
  <c r="AQ16" i="7"/>
  <c r="AR16" i="7"/>
  <c r="AS16" i="7"/>
  <c r="AT16" i="7"/>
  <c r="AU16" i="7"/>
  <c r="AV16" i="7"/>
  <c r="AW16" i="7"/>
  <c r="AX16" i="7"/>
  <c r="AY16" i="7"/>
  <c r="AZ16" i="7"/>
  <c r="BA16" i="7"/>
  <c r="BC16" i="7"/>
  <c r="BD16" i="7"/>
  <c r="BE16" i="7"/>
  <c r="BF16" i="7"/>
  <c r="BG16" i="7"/>
  <c r="FE18" i="1" s="1"/>
  <c r="AL72" i="7"/>
  <c r="AM72" i="7"/>
  <c r="AN72" i="7"/>
  <c r="AO72" i="7"/>
  <c r="AP72" i="7"/>
  <c r="AQ72" i="7"/>
  <c r="AR72" i="7"/>
  <c r="AS72" i="7"/>
  <c r="AT72" i="7"/>
  <c r="AU72" i="7"/>
  <c r="AV72" i="7"/>
  <c r="AW72" i="7"/>
  <c r="AX72" i="7"/>
  <c r="AY72" i="7"/>
  <c r="AZ72" i="7"/>
  <c r="BA72" i="7"/>
  <c r="BC72" i="7"/>
  <c r="BD72" i="7"/>
  <c r="BE72" i="7"/>
  <c r="BF72" i="7"/>
  <c r="BG72" i="7"/>
  <c r="BH72" i="7"/>
  <c r="AL45" i="7"/>
  <c r="AM45" i="7"/>
  <c r="AN45" i="7"/>
  <c r="AO45" i="7"/>
  <c r="AP45" i="7"/>
  <c r="AQ45" i="7"/>
  <c r="AR45" i="7"/>
  <c r="AS45" i="7"/>
  <c r="AT45" i="7"/>
  <c r="AU45" i="7"/>
  <c r="AV45" i="7"/>
  <c r="AW45" i="7"/>
  <c r="AX45" i="7"/>
  <c r="AY45" i="7"/>
  <c r="AZ45" i="7"/>
  <c r="BA45" i="7"/>
  <c r="BC45" i="7"/>
  <c r="BD45" i="7"/>
  <c r="BE45" i="7"/>
  <c r="BF45" i="7"/>
  <c r="BG45" i="7"/>
  <c r="FE49" i="1" s="1"/>
  <c r="AL73" i="7"/>
  <c r="AM73" i="7"/>
  <c r="AN73" i="7"/>
  <c r="AO73" i="7"/>
  <c r="AP73" i="7"/>
  <c r="AQ73" i="7"/>
  <c r="AR73" i="7"/>
  <c r="AS73" i="7"/>
  <c r="AT73" i="7"/>
  <c r="AU73" i="7"/>
  <c r="AV73" i="7"/>
  <c r="AW73" i="7"/>
  <c r="AX73" i="7"/>
  <c r="AY73" i="7"/>
  <c r="AZ73" i="7"/>
  <c r="BA73" i="7"/>
  <c r="BC73" i="7"/>
  <c r="BD73" i="7"/>
  <c r="BE73" i="7"/>
  <c r="BF73" i="7"/>
  <c r="BG73" i="7"/>
  <c r="BH73" i="7"/>
  <c r="CK49" i="1"/>
  <c r="CA49" i="1"/>
  <c r="BV49" i="1"/>
  <c r="AB14" i="1"/>
  <c r="AL12" i="7"/>
  <c r="AM12" i="7"/>
  <c r="AN12" i="7"/>
  <c r="AO12" i="7"/>
  <c r="AP12" i="7"/>
  <c r="AQ12" i="7"/>
  <c r="AR12" i="7"/>
  <c r="AS12" i="7"/>
  <c r="AT12" i="7"/>
  <c r="AU12" i="7"/>
  <c r="AV12" i="7"/>
  <c r="AW12" i="7"/>
  <c r="AX12" i="7"/>
  <c r="AY12" i="7"/>
  <c r="AZ12" i="7"/>
  <c r="BA12" i="7"/>
  <c r="BC12" i="7"/>
  <c r="BD12" i="7"/>
  <c r="BE12" i="7"/>
  <c r="BF12" i="7"/>
  <c r="BG12" i="7"/>
  <c r="FE14" i="1" s="1"/>
  <c r="AL35" i="7"/>
  <c r="AM35" i="7"/>
  <c r="AN35" i="7"/>
  <c r="AO35" i="7"/>
  <c r="AP35" i="7"/>
  <c r="AQ35" i="7"/>
  <c r="AR35" i="7"/>
  <c r="AS35" i="7"/>
  <c r="AT35" i="7"/>
  <c r="AU35" i="7"/>
  <c r="AV35" i="7"/>
  <c r="AW35" i="7"/>
  <c r="AX35" i="7"/>
  <c r="AY35" i="7"/>
  <c r="AZ35" i="7"/>
  <c r="BA35" i="7"/>
  <c r="BC35" i="7"/>
  <c r="BD35" i="7"/>
  <c r="BE35" i="7"/>
  <c r="BF35" i="7"/>
  <c r="BG35" i="7"/>
  <c r="FE38" i="1" s="1"/>
  <c r="AL36" i="7"/>
  <c r="AM36" i="7"/>
  <c r="AN36" i="7"/>
  <c r="AO36" i="7"/>
  <c r="AP36" i="7"/>
  <c r="AQ36" i="7"/>
  <c r="AR36" i="7"/>
  <c r="AS36" i="7"/>
  <c r="AT36" i="7"/>
  <c r="AU36" i="7"/>
  <c r="AV36" i="7"/>
  <c r="AW36" i="7"/>
  <c r="AX36" i="7"/>
  <c r="AY36" i="7"/>
  <c r="AZ36" i="7"/>
  <c r="BA36" i="7"/>
  <c r="BC36" i="7"/>
  <c r="BD36" i="7"/>
  <c r="BE36" i="7"/>
  <c r="BF36" i="7"/>
  <c r="BG36" i="7"/>
  <c r="FE39" i="1" s="1"/>
  <c r="CK39" i="1"/>
  <c r="CK38" i="1"/>
  <c r="CK14" i="1"/>
  <c r="CA39" i="1"/>
  <c r="CA38" i="1"/>
  <c r="CA14" i="1"/>
  <c r="BV39" i="1"/>
  <c r="BV38" i="1"/>
  <c r="BV14" i="1"/>
  <c r="C717" i="5"/>
  <c r="H699" i="5"/>
  <c r="I699" i="5" s="1"/>
  <c r="H696" i="5"/>
  <c r="H698" i="5"/>
  <c r="I698" i="5" s="1"/>
  <c r="H700" i="5"/>
  <c r="I700" i="5" s="1"/>
  <c r="H702" i="5"/>
  <c r="I702" i="5" s="1"/>
  <c r="H704" i="5"/>
  <c r="I704" i="5" s="1"/>
  <c r="C707" i="5"/>
  <c r="C692" i="5"/>
  <c r="L682" i="5"/>
  <c r="L681" i="5"/>
  <c r="I679" i="5"/>
  <c r="H679" i="5"/>
  <c r="C679" i="5"/>
  <c r="I659" i="5"/>
  <c r="H659" i="5"/>
  <c r="C659" i="5"/>
  <c r="C647" i="5"/>
  <c r="I643" i="5"/>
  <c r="I645" i="5"/>
  <c r="I637" i="5"/>
  <c r="I636" i="5"/>
  <c r="I635" i="5"/>
  <c r="I641" i="5"/>
  <c r="I640" i="5"/>
  <c r="I639" i="5"/>
  <c r="H638" i="5"/>
  <c r="G638" i="5" s="1"/>
  <c r="H644" i="5"/>
  <c r="H642" i="5"/>
  <c r="H646" i="5"/>
  <c r="AD23" i="1"/>
  <c r="AL5" i="7"/>
  <c r="AM5" i="7"/>
  <c r="AN5" i="7"/>
  <c r="AO5" i="7"/>
  <c r="AP5" i="7"/>
  <c r="AQ5" i="7"/>
  <c r="AR5" i="7"/>
  <c r="AS5" i="7"/>
  <c r="AT5" i="7"/>
  <c r="AU5" i="7"/>
  <c r="AV5" i="7"/>
  <c r="AW5" i="7"/>
  <c r="AX5" i="7"/>
  <c r="AY5" i="7"/>
  <c r="AZ5" i="7"/>
  <c r="BA5" i="7"/>
  <c r="BC5" i="7"/>
  <c r="BD5" i="7"/>
  <c r="BE5" i="7"/>
  <c r="BF5" i="7"/>
  <c r="BG5" i="7"/>
  <c r="FE5" i="1" s="1"/>
  <c r="AL6" i="7"/>
  <c r="AM6" i="7"/>
  <c r="AN6" i="7"/>
  <c r="AO6" i="7"/>
  <c r="AP6" i="7"/>
  <c r="AQ6" i="7"/>
  <c r="AR6" i="7"/>
  <c r="AS6" i="7"/>
  <c r="AT6" i="7"/>
  <c r="AU6" i="7"/>
  <c r="AV6" i="7"/>
  <c r="AW6" i="7"/>
  <c r="AX6" i="7"/>
  <c r="AY6" i="7"/>
  <c r="AZ6" i="7"/>
  <c r="BA6" i="7"/>
  <c r="BC6" i="7"/>
  <c r="BD6" i="7"/>
  <c r="BE6" i="7"/>
  <c r="BF6" i="7"/>
  <c r="BG6" i="7"/>
  <c r="FE6" i="1" s="1"/>
  <c r="AL7" i="7"/>
  <c r="AM7" i="7"/>
  <c r="AN7" i="7"/>
  <c r="AO7" i="7"/>
  <c r="AP7" i="7"/>
  <c r="AQ7" i="7"/>
  <c r="AR7" i="7"/>
  <c r="AS7" i="7"/>
  <c r="AT7" i="7"/>
  <c r="AU7" i="7"/>
  <c r="AV7" i="7"/>
  <c r="AW7" i="7"/>
  <c r="AX7" i="7"/>
  <c r="AY7" i="7"/>
  <c r="AZ7" i="7"/>
  <c r="BA7" i="7"/>
  <c r="BC7" i="7"/>
  <c r="BD7" i="7"/>
  <c r="BE7" i="7"/>
  <c r="BF7" i="7"/>
  <c r="BG7" i="7"/>
  <c r="FE7" i="1" s="1"/>
  <c r="AL8" i="7"/>
  <c r="AM8" i="7"/>
  <c r="AN8" i="7"/>
  <c r="AO8" i="7"/>
  <c r="AP8" i="7"/>
  <c r="AQ8" i="7"/>
  <c r="AR8" i="7"/>
  <c r="AS8" i="7"/>
  <c r="AT8" i="7"/>
  <c r="AU8" i="7"/>
  <c r="AV8" i="7"/>
  <c r="AW8" i="7"/>
  <c r="AX8" i="7"/>
  <c r="AY8" i="7"/>
  <c r="AZ8" i="7"/>
  <c r="BA8" i="7"/>
  <c r="BC8" i="7"/>
  <c r="BD8" i="7"/>
  <c r="BE8" i="7"/>
  <c r="BF8" i="7"/>
  <c r="BG8" i="7"/>
  <c r="FE8" i="1" s="1"/>
  <c r="AL9" i="7"/>
  <c r="AM9" i="7"/>
  <c r="AN9" i="7"/>
  <c r="AO9" i="7"/>
  <c r="AP9" i="7"/>
  <c r="AQ9" i="7"/>
  <c r="AR9" i="7"/>
  <c r="AS9" i="7"/>
  <c r="AT9" i="7"/>
  <c r="AU9" i="7"/>
  <c r="AV9" i="7"/>
  <c r="AW9" i="7"/>
  <c r="AX9" i="7"/>
  <c r="AY9" i="7"/>
  <c r="AZ9" i="7"/>
  <c r="BA9" i="7"/>
  <c r="BC9" i="7"/>
  <c r="BD9" i="7"/>
  <c r="BE9" i="7"/>
  <c r="BF9" i="7"/>
  <c r="BG9" i="7"/>
  <c r="FE9" i="1" s="1"/>
  <c r="AL10" i="7"/>
  <c r="AM10" i="7"/>
  <c r="AN10" i="7"/>
  <c r="AO10" i="7"/>
  <c r="AP10" i="7"/>
  <c r="AQ10" i="7"/>
  <c r="AR10" i="7"/>
  <c r="AS10" i="7"/>
  <c r="AT10" i="7"/>
  <c r="AU10" i="7"/>
  <c r="AV10" i="7"/>
  <c r="AW10" i="7"/>
  <c r="AX10" i="7"/>
  <c r="AY10" i="7"/>
  <c r="AZ10" i="7"/>
  <c r="BA10" i="7"/>
  <c r="BC10" i="7"/>
  <c r="BD10" i="7"/>
  <c r="BE10" i="7"/>
  <c r="BF10" i="7"/>
  <c r="BG10" i="7"/>
  <c r="FE10" i="1" s="1"/>
  <c r="AL11" i="7"/>
  <c r="AM11" i="7"/>
  <c r="AN11" i="7"/>
  <c r="AO11" i="7"/>
  <c r="AP11" i="7"/>
  <c r="AQ11" i="7"/>
  <c r="AR11" i="7"/>
  <c r="AS11" i="7"/>
  <c r="AT11" i="7"/>
  <c r="AU11" i="7"/>
  <c r="AV11" i="7"/>
  <c r="AW11" i="7"/>
  <c r="AX11" i="7"/>
  <c r="AY11" i="7"/>
  <c r="AZ11" i="7"/>
  <c r="BA11" i="7"/>
  <c r="BC11" i="7"/>
  <c r="BD11" i="7"/>
  <c r="BE11" i="7"/>
  <c r="BF11" i="7"/>
  <c r="BG11" i="7"/>
  <c r="FE11" i="1" s="1"/>
  <c r="AL13" i="7"/>
  <c r="AM13" i="7"/>
  <c r="AN13" i="7"/>
  <c r="AO13" i="7"/>
  <c r="AP13" i="7"/>
  <c r="AQ13" i="7"/>
  <c r="AR13" i="7"/>
  <c r="AS13" i="7"/>
  <c r="AT13" i="7"/>
  <c r="AU13" i="7"/>
  <c r="AV13" i="7"/>
  <c r="AW13" i="7"/>
  <c r="AX13" i="7"/>
  <c r="AY13" i="7"/>
  <c r="AZ13" i="7"/>
  <c r="BA13" i="7"/>
  <c r="BC13" i="7"/>
  <c r="BD13" i="7"/>
  <c r="BE13" i="7"/>
  <c r="BF13" i="7"/>
  <c r="BG13" i="7"/>
  <c r="FE15" i="1" s="1"/>
  <c r="AL14" i="7"/>
  <c r="AM14" i="7"/>
  <c r="AN14" i="7"/>
  <c r="AO14" i="7"/>
  <c r="AP14" i="7"/>
  <c r="AQ14" i="7"/>
  <c r="AR14" i="7"/>
  <c r="AT14" i="7"/>
  <c r="AU14" i="7"/>
  <c r="AV14" i="7"/>
  <c r="AW14" i="7"/>
  <c r="AX14" i="7"/>
  <c r="AY14" i="7"/>
  <c r="AZ14" i="7"/>
  <c r="BA14" i="7"/>
  <c r="BC14" i="7"/>
  <c r="BD14" i="7"/>
  <c r="BE14" i="7"/>
  <c r="BF14" i="7"/>
  <c r="BG14" i="7"/>
  <c r="FE16" i="1" s="1"/>
  <c r="AL15" i="7"/>
  <c r="AM15" i="7"/>
  <c r="AN15" i="7"/>
  <c r="AO15" i="7"/>
  <c r="AP15" i="7"/>
  <c r="AQ15" i="7"/>
  <c r="AR15" i="7"/>
  <c r="AS15" i="7"/>
  <c r="AT15" i="7"/>
  <c r="AU15" i="7"/>
  <c r="AV15" i="7"/>
  <c r="AW15" i="7"/>
  <c r="AX15" i="7"/>
  <c r="AY15" i="7"/>
  <c r="AZ15" i="7"/>
  <c r="BA15" i="7"/>
  <c r="BC15" i="7"/>
  <c r="BD15" i="7"/>
  <c r="BE15" i="7"/>
  <c r="BF15" i="7"/>
  <c r="BG15" i="7"/>
  <c r="FE17" i="1" s="1"/>
  <c r="AL17" i="7"/>
  <c r="AM17" i="7"/>
  <c r="AN17" i="7"/>
  <c r="AO17" i="7"/>
  <c r="AP17" i="7"/>
  <c r="AQ17" i="7"/>
  <c r="AR17" i="7"/>
  <c r="AS17" i="7"/>
  <c r="AT17" i="7"/>
  <c r="AU17" i="7"/>
  <c r="AV17" i="7"/>
  <c r="AW17" i="7"/>
  <c r="AX17" i="7"/>
  <c r="AY17" i="7"/>
  <c r="AZ17" i="7"/>
  <c r="BA17" i="7"/>
  <c r="BC17" i="7"/>
  <c r="BD17" i="7"/>
  <c r="BE17" i="7"/>
  <c r="BF17" i="7"/>
  <c r="BG17" i="7"/>
  <c r="FE19" i="1" s="1"/>
  <c r="AL18" i="7"/>
  <c r="AM18" i="7"/>
  <c r="AN18" i="7"/>
  <c r="AO18" i="7"/>
  <c r="AP18" i="7"/>
  <c r="AQ18" i="7"/>
  <c r="AR18" i="7"/>
  <c r="AS18" i="7"/>
  <c r="AT18" i="7"/>
  <c r="AU18" i="7"/>
  <c r="AV18" i="7"/>
  <c r="AW18" i="7"/>
  <c r="AX18" i="7"/>
  <c r="AY18" i="7"/>
  <c r="AZ18" i="7"/>
  <c r="BA18" i="7"/>
  <c r="BC18" i="7"/>
  <c r="BD18" i="7"/>
  <c r="BE18" i="7"/>
  <c r="BF18" i="7"/>
  <c r="BG18" i="7"/>
  <c r="FE20" i="1" s="1"/>
  <c r="AL19" i="7"/>
  <c r="AM19" i="7"/>
  <c r="AN19" i="7"/>
  <c r="AO19" i="7"/>
  <c r="AP19" i="7"/>
  <c r="AQ19" i="7"/>
  <c r="AR19" i="7"/>
  <c r="AS19" i="7"/>
  <c r="AT19" i="7"/>
  <c r="AU19" i="7"/>
  <c r="AV19" i="7"/>
  <c r="AW19" i="7"/>
  <c r="AX19" i="7"/>
  <c r="AY19" i="7"/>
  <c r="AZ19" i="7"/>
  <c r="BA19" i="7"/>
  <c r="BC19" i="7"/>
  <c r="BD19" i="7"/>
  <c r="BE19" i="7"/>
  <c r="BF19" i="7"/>
  <c r="BG19" i="7"/>
  <c r="FE21" i="1" s="1"/>
  <c r="AL20" i="7"/>
  <c r="AM20" i="7"/>
  <c r="AN20" i="7"/>
  <c r="AO20" i="7"/>
  <c r="AP20" i="7"/>
  <c r="AQ20" i="7"/>
  <c r="AR20" i="7"/>
  <c r="AS20" i="7"/>
  <c r="AT20" i="7"/>
  <c r="AU20" i="7"/>
  <c r="AV20" i="7"/>
  <c r="AW20" i="7"/>
  <c r="AX20" i="7"/>
  <c r="AY20" i="7"/>
  <c r="AZ20" i="7"/>
  <c r="BA20" i="7"/>
  <c r="BC20" i="7"/>
  <c r="BD20" i="7"/>
  <c r="BE20" i="7"/>
  <c r="BF20" i="7"/>
  <c r="BG20" i="7"/>
  <c r="FE22" i="1" s="1"/>
  <c r="AL21" i="7"/>
  <c r="AM21" i="7"/>
  <c r="AN21" i="7"/>
  <c r="AO21" i="7"/>
  <c r="AP21" i="7"/>
  <c r="AQ21" i="7"/>
  <c r="AR21" i="7"/>
  <c r="AS21" i="7"/>
  <c r="AT21" i="7"/>
  <c r="AU21" i="7"/>
  <c r="AV21" i="7"/>
  <c r="AW21" i="7"/>
  <c r="AX21" i="7"/>
  <c r="AY21" i="7"/>
  <c r="AZ21" i="7"/>
  <c r="BA21" i="7"/>
  <c r="BC21" i="7"/>
  <c r="BD21" i="7"/>
  <c r="BE21" i="7"/>
  <c r="BF21" i="7"/>
  <c r="BG21" i="7"/>
  <c r="FE23" i="1" s="1"/>
  <c r="AL22" i="7"/>
  <c r="AM22" i="7"/>
  <c r="AN22" i="7"/>
  <c r="AO22" i="7"/>
  <c r="AP22" i="7"/>
  <c r="AQ22" i="7"/>
  <c r="AR22" i="7"/>
  <c r="AS22" i="7"/>
  <c r="AT22" i="7"/>
  <c r="AU22" i="7"/>
  <c r="AV22" i="7"/>
  <c r="AW22" i="7"/>
  <c r="AX22" i="7"/>
  <c r="AY22" i="7"/>
  <c r="AZ22" i="7"/>
  <c r="BA22" i="7"/>
  <c r="BC22" i="7"/>
  <c r="BD22" i="7"/>
  <c r="BE22" i="7"/>
  <c r="BF22" i="7"/>
  <c r="BG22" i="7"/>
  <c r="FE24" i="1" s="1"/>
  <c r="AL23" i="7"/>
  <c r="AM23" i="7"/>
  <c r="AN23" i="7"/>
  <c r="AO23" i="7"/>
  <c r="AP23" i="7"/>
  <c r="AQ23" i="7"/>
  <c r="AR23" i="7"/>
  <c r="AS23" i="7"/>
  <c r="AT23" i="7"/>
  <c r="AU23" i="7"/>
  <c r="AV23" i="7"/>
  <c r="AW23" i="7"/>
  <c r="AX23" i="7"/>
  <c r="AY23" i="7"/>
  <c r="AZ23" i="7"/>
  <c r="BA23" i="7"/>
  <c r="BC23" i="7"/>
  <c r="BD23" i="7"/>
  <c r="BE23" i="7"/>
  <c r="BF23" i="7"/>
  <c r="BG23" i="7"/>
  <c r="FE25" i="1" s="1"/>
  <c r="AL24" i="7"/>
  <c r="AM24" i="7"/>
  <c r="AN24" i="7"/>
  <c r="AO24" i="7"/>
  <c r="AP24" i="7"/>
  <c r="AQ24" i="7"/>
  <c r="AR24" i="7"/>
  <c r="AS24" i="7"/>
  <c r="AT24" i="7"/>
  <c r="AU24" i="7"/>
  <c r="AV24" i="7"/>
  <c r="AW24" i="7"/>
  <c r="AX24" i="7"/>
  <c r="AY24" i="7"/>
  <c r="AZ24" i="7"/>
  <c r="BA24" i="7"/>
  <c r="BC24" i="7"/>
  <c r="BD24" i="7"/>
  <c r="BE24" i="7"/>
  <c r="BF24" i="7"/>
  <c r="BG24" i="7"/>
  <c r="FE26" i="1" s="1"/>
  <c r="AL25" i="7"/>
  <c r="AM25" i="7"/>
  <c r="AN25" i="7"/>
  <c r="AO25" i="7"/>
  <c r="AP25" i="7"/>
  <c r="AQ25" i="7"/>
  <c r="AR25" i="7"/>
  <c r="AS25" i="7"/>
  <c r="AT25" i="7"/>
  <c r="AU25" i="7"/>
  <c r="AV25" i="7"/>
  <c r="AW25" i="7"/>
  <c r="AX25" i="7"/>
  <c r="AY25" i="7"/>
  <c r="AZ25" i="7"/>
  <c r="BA25" i="7"/>
  <c r="BC25" i="7"/>
  <c r="BD25" i="7"/>
  <c r="BE25" i="7"/>
  <c r="BF25" i="7"/>
  <c r="BG25" i="7"/>
  <c r="FE27" i="1" s="1"/>
  <c r="AL26" i="7"/>
  <c r="AM26" i="7"/>
  <c r="AN26" i="7"/>
  <c r="AO26" i="7"/>
  <c r="AP26" i="7"/>
  <c r="AQ26" i="7"/>
  <c r="AR26" i="7"/>
  <c r="AS26" i="7"/>
  <c r="AT26" i="7"/>
  <c r="AU26" i="7"/>
  <c r="AV26" i="7"/>
  <c r="AW26" i="7"/>
  <c r="AX26" i="7"/>
  <c r="AY26" i="7"/>
  <c r="AZ26" i="7"/>
  <c r="BA26" i="7"/>
  <c r="BC26" i="7"/>
  <c r="BD26" i="7"/>
  <c r="BE26" i="7"/>
  <c r="BF26" i="7"/>
  <c r="BG26" i="7"/>
  <c r="FE28" i="1" s="1"/>
  <c r="AL27" i="7"/>
  <c r="AM27" i="7"/>
  <c r="AN27" i="7"/>
  <c r="AO27" i="7"/>
  <c r="AP27" i="7"/>
  <c r="AQ27" i="7"/>
  <c r="AR27" i="7"/>
  <c r="AS27" i="7"/>
  <c r="AT27" i="7"/>
  <c r="AU27" i="7"/>
  <c r="AV27" i="7"/>
  <c r="AW27" i="7"/>
  <c r="AX27" i="7"/>
  <c r="AY27" i="7"/>
  <c r="AZ27" i="7"/>
  <c r="BA27" i="7"/>
  <c r="BC27" i="7"/>
  <c r="BD27" i="7"/>
  <c r="BE27" i="7"/>
  <c r="BF27" i="7"/>
  <c r="BG27" i="7"/>
  <c r="FE29" i="1" s="1"/>
  <c r="AL28" i="7"/>
  <c r="AM28" i="7"/>
  <c r="AN28" i="7"/>
  <c r="AO28" i="7"/>
  <c r="AP28" i="7"/>
  <c r="AQ28" i="7"/>
  <c r="AR28" i="7"/>
  <c r="AS28" i="7"/>
  <c r="AT28" i="7"/>
  <c r="AU28" i="7"/>
  <c r="AV28" i="7"/>
  <c r="AW28" i="7"/>
  <c r="AX28" i="7"/>
  <c r="AY28" i="7"/>
  <c r="AZ28" i="7"/>
  <c r="BA28" i="7"/>
  <c r="BC28" i="7"/>
  <c r="BD28" i="7"/>
  <c r="BE28" i="7"/>
  <c r="BF28" i="7"/>
  <c r="BG28" i="7"/>
  <c r="FE30" i="1" s="1"/>
  <c r="AL29" i="7"/>
  <c r="AM29" i="7"/>
  <c r="AN29" i="7"/>
  <c r="AO29" i="7"/>
  <c r="AP29" i="7"/>
  <c r="AQ29" i="7"/>
  <c r="AR29" i="7"/>
  <c r="AS29" i="7"/>
  <c r="AT29" i="7"/>
  <c r="AU29" i="7"/>
  <c r="AV29" i="7"/>
  <c r="AW29" i="7"/>
  <c r="AX29" i="7"/>
  <c r="AY29" i="7"/>
  <c r="AZ29" i="7"/>
  <c r="BA29" i="7"/>
  <c r="BC29" i="7"/>
  <c r="BD29" i="7"/>
  <c r="BE29" i="7"/>
  <c r="BF29" i="7"/>
  <c r="BG29" i="7"/>
  <c r="FE32" i="1" s="1"/>
  <c r="AL30" i="7"/>
  <c r="AM30" i="7"/>
  <c r="AN30" i="7"/>
  <c r="AO30" i="7"/>
  <c r="AP30" i="7"/>
  <c r="AQ30" i="7"/>
  <c r="AR30" i="7"/>
  <c r="AS30" i="7"/>
  <c r="AT30" i="7"/>
  <c r="AU30" i="7"/>
  <c r="AV30" i="7"/>
  <c r="AW30" i="7"/>
  <c r="AX30" i="7"/>
  <c r="AY30" i="7"/>
  <c r="AZ30" i="7"/>
  <c r="BA30" i="7"/>
  <c r="BC30" i="7"/>
  <c r="BD30" i="7"/>
  <c r="BE30" i="7"/>
  <c r="BF30" i="7"/>
  <c r="BG30" i="7"/>
  <c r="FE33" i="1" s="1"/>
  <c r="AL31" i="7"/>
  <c r="AM31" i="7"/>
  <c r="AN31" i="7"/>
  <c r="AO31" i="7"/>
  <c r="AP31" i="7"/>
  <c r="AQ31" i="7"/>
  <c r="AR31" i="7"/>
  <c r="AS31" i="7"/>
  <c r="AT31" i="7"/>
  <c r="AU31" i="7"/>
  <c r="AV31" i="7"/>
  <c r="AW31" i="7"/>
  <c r="AX31" i="7"/>
  <c r="AY31" i="7"/>
  <c r="AZ31" i="7"/>
  <c r="BA31" i="7"/>
  <c r="BC31" i="7"/>
  <c r="BD31" i="7"/>
  <c r="BE31" i="7"/>
  <c r="BF31" i="7"/>
  <c r="BG31" i="7"/>
  <c r="FE34" i="1" s="1"/>
  <c r="AL32" i="7"/>
  <c r="AM32" i="7"/>
  <c r="AN32" i="7"/>
  <c r="AO32" i="7"/>
  <c r="AP32" i="7"/>
  <c r="AQ32" i="7"/>
  <c r="AR32" i="7"/>
  <c r="AS32" i="7"/>
  <c r="AT32" i="7"/>
  <c r="AU32" i="7"/>
  <c r="AV32" i="7"/>
  <c r="AW32" i="7"/>
  <c r="AX32" i="7"/>
  <c r="AY32" i="7"/>
  <c r="AZ32" i="7"/>
  <c r="BA32" i="7"/>
  <c r="BC32" i="7"/>
  <c r="BD32" i="7"/>
  <c r="BE32" i="7"/>
  <c r="BF32" i="7"/>
  <c r="BG32" i="7"/>
  <c r="FE35" i="1" s="1"/>
  <c r="AL33" i="7"/>
  <c r="AM33" i="7"/>
  <c r="AN33" i="7"/>
  <c r="AO33" i="7"/>
  <c r="AP33" i="7"/>
  <c r="AQ33" i="7"/>
  <c r="AR33" i="7"/>
  <c r="AS33" i="7"/>
  <c r="AT33" i="7"/>
  <c r="AU33" i="7"/>
  <c r="AV33" i="7"/>
  <c r="AW33" i="7"/>
  <c r="AX33" i="7"/>
  <c r="AY33" i="7"/>
  <c r="AZ33" i="7"/>
  <c r="BA33" i="7"/>
  <c r="BC33" i="7"/>
  <c r="BD33" i="7"/>
  <c r="BE33" i="7"/>
  <c r="BF33" i="7"/>
  <c r="BG33" i="7"/>
  <c r="FE36" i="1" s="1"/>
  <c r="AL34" i="7"/>
  <c r="AM34" i="7"/>
  <c r="AN34" i="7"/>
  <c r="AO34" i="7"/>
  <c r="AP34" i="7"/>
  <c r="AQ34" i="7"/>
  <c r="AR34" i="7"/>
  <c r="AS34" i="7"/>
  <c r="AT34" i="7"/>
  <c r="AU34" i="7"/>
  <c r="AV34" i="7"/>
  <c r="AW34" i="7"/>
  <c r="AX34" i="7"/>
  <c r="AY34" i="7"/>
  <c r="AZ34" i="7"/>
  <c r="BA34" i="7"/>
  <c r="BC34" i="7"/>
  <c r="BD34" i="7"/>
  <c r="BE34" i="7"/>
  <c r="BF34" i="7"/>
  <c r="BG34" i="7"/>
  <c r="FE37" i="1" s="1"/>
  <c r="AL74" i="7"/>
  <c r="AM74" i="7"/>
  <c r="AN74" i="7"/>
  <c r="AO74" i="7"/>
  <c r="AP74" i="7"/>
  <c r="AQ74" i="7"/>
  <c r="AR74" i="7"/>
  <c r="AS74" i="7"/>
  <c r="AT74" i="7"/>
  <c r="AU74" i="7"/>
  <c r="AV74" i="7"/>
  <c r="AW74" i="7"/>
  <c r="AX74" i="7"/>
  <c r="AY74" i="7"/>
  <c r="AZ74" i="7"/>
  <c r="BA74" i="7"/>
  <c r="BC74" i="7"/>
  <c r="BD74" i="7"/>
  <c r="BE74" i="7"/>
  <c r="BF74" i="7"/>
  <c r="BG74" i="7"/>
  <c r="BH74" i="7"/>
  <c r="AL37" i="7"/>
  <c r="AM37" i="7"/>
  <c r="AN37" i="7"/>
  <c r="AO37" i="7"/>
  <c r="AP37" i="7"/>
  <c r="AQ37" i="7"/>
  <c r="AR37" i="7"/>
  <c r="AS37" i="7"/>
  <c r="AT37" i="7"/>
  <c r="AU37" i="7"/>
  <c r="AV37" i="7"/>
  <c r="AW37" i="7"/>
  <c r="AX37" i="7"/>
  <c r="AY37" i="7"/>
  <c r="AZ37" i="7"/>
  <c r="BA37" i="7"/>
  <c r="BC37" i="7"/>
  <c r="BD37" i="7"/>
  <c r="BE37" i="7"/>
  <c r="BF37" i="7"/>
  <c r="BG37" i="7"/>
  <c r="FE41" i="1" s="1"/>
  <c r="AL38" i="7"/>
  <c r="AM38" i="7"/>
  <c r="AN38" i="7"/>
  <c r="AO38" i="7"/>
  <c r="AP38" i="7"/>
  <c r="AQ38" i="7"/>
  <c r="AR38" i="7"/>
  <c r="AS38" i="7"/>
  <c r="AT38" i="7"/>
  <c r="AU38" i="7"/>
  <c r="AV38" i="7"/>
  <c r="AW38" i="7"/>
  <c r="AX38" i="7"/>
  <c r="AY38" i="7"/>
  <c r="AZ38" i="7"/>
  <c r="BA38" i="7"/>
  <c r="BC38" i="7"/>
  <c r="BD38" i="7"/>
  <c r="BE38" i="7"/>
  <c r="BF38" i="7"/>
  <c r="BG38" i="7"/>
  <c r="FE42" i="1" s="1"/>
  <c r="AL39" i="7"/>
  <c r="AM39" i="7"/>
  <c r="AN39" i="7"/>
  <c r="AO39" i="7"/>
  <c r="AP39" i="7"/>
  <c r="AQ39" i="7"/>
  <c r="AR39" i="7"/>
  <c r="AS39" i="7"/>
  <c r="AT39" i="7"/>
  <c r="AU39" i="7"/>
  <c r="AV39" i="7"/>
  <c r="AW39" i="7"/>
  <c r="AX39" i="7"/>
  <c r="AY39" i="7"/>
  <c r="AZ39" i="7"/>
  <c r="BA39" i="7"/>
  <c r="BC39" i="7"/>
  <c r="BD39" i="7"/>
  <c r="BE39" i="7"/>
  <c r="BF39" i="7"/>
  <c r="BG39" i="7"/>
  <c r="FE43" i="1" s="1"/>
  <c r="AL40" i="7"/>
  <c r="AM40" i="7"/>
  <c r="AN40" i="7"/>
  <c r="AO40" i="7"/>
  <c r="AP40" i="7"/>
  <c r="AQ40" i="7"/>
  <c r="AR40" i="7"/>
  <c r="AS40" i="7"/>
  <c r="AT40" i="7"/>
  <c r="AU40" i="7"/>
  <c r="AV40" i="7"/>
  <c r="AW40" i="7"/>
  <c r="AX40" i="7"/>
  <c r="AY40" i="7"/>
  <c r="AZ40" i="7"/>
  <c r="BA40" i="7"/>
  <c r="BC40" i="7"/>
  <c r="BD40" i="7"/>
  <c r="BE40" i="7"/>
  <c r="BF40" i="7"/>
  <c r="BG40" i="7"/>
  <c r="FE44" i="1" s="1"/>
  <c r="AL41" i="7"/>
  <c r="AM41" i="7"/>
  <c r="AN41" i="7"/>
  <c r="AO41" i="7"/>
  <c r="AP41" i="7"/>
  <c r="AQ41" i="7"/>
  <c r="AR41" i="7"/>
  <c r="AS41" i="7"/>
  <c r="AT41" i="7"/>
  <c r="AU41" i="7"/>
  <c r="AV41" i="7"/>
  <c r="AW41" i="7"/>
  <c r="AX41" i="7"/>
  <c r="AY41" i="7"/>
  <c r="AZ41" i="7"/>
  <c r="BA41" i="7"/>
  <c r="BC41" i="7"/>
  <c r="BD41" i="7"/>
  <c r="BE41" i="7"/>
  <c r="BF41" i="7"/>
  <c r="BG41" i="7"/>
  <c r="FE45" i="1" s="1"/>
  <c r="AL42" i="7"/>
  <c r="AM42" i="7"/>
  <c r="AN42" i="7"/>
  <c r="AO42" i="7"/>
  <c r="AP42" i="7"/>
  <c r="AQ42" i="7"/>
  <c r="AR42" i="7"/>
  <c r="AS42" i="7"/>
  <c r="AT42" i="7"/>
  <c r="AU42" i="7"/>
  <c r="AV42" i="7"/>
  <c r="AW42" i="7"/>
  <c r="AX42" i="7"/>
  <c r="AY42" i="7"/>
  <c r="AZ42" i="7"/>
  <c r="BA42" i="7"/>
  <c r="BC42" i="7"/>
  <c r="BD42" i="7"/>
  <c r="BE42" i="7"/>
  <c r="BF42" i="7"/>
  <c r="BG42" i="7"/>
  <c r="FE46" i="1" s="1"/>
  <c r="AL43" i="7"/>
  <c r="AM43" i="7"/>
  <c r="AN43" i="7"/>
  <c r="AO43" i="7"/>
  <c r="AP43" i="7"/>
  <c r="AQ43" i="7"/>
  <c r="AR43" i="7"/>
  <c r="AS43" i="7"/>
  <c r="AT43" i="7"/>
  <c r="AU43" i="7"/>
  <c r="AV43" i="7"/>
  <c r="AW43" i="7"/>
  <c r="AX43" i="7"/>
  <c r="AY43" i="7"/>
  <c r="AZ43" i="7"/>
  <c r="BA43" i="7"/>
  <c r="BC43" i="7"/>
  <c r="BD43" i="7"/>
  <c r="BE43" i="7"/>
  <c r="BF43" i="7"/>
  <c r="BG43" i="7"/>
  <c r="FE47" i="1" s="1"/>
  <c r="AL44" i="7"/>
  <c r="AM44" i="7"/>
  <c r="AN44" i="7"/>
  <c r="AO44" i="7"/>
  <c r="AP44" i="7"/>
  <c r="AQ44" i="7"/>
  <c r="AR44" i="7"/>
  <c r="AS44" i="7"/>
  <c r="AT44" i="7"/>
  <c r="AU44" i="7"/>
  <c r="AV44" i="7"/>
  <c r="AW44" i="7"/>
  <c r="AX44" i="7"/>
  <c r="AY44" i="7"/>
  <c r="AZ44" i="7"/>
  <c r="BA44" i="7"/>
  <c r="BC44" i="7"/>
  <c r="BD44" i="7"/>
  <c r="BE44" i="7"/>
  <c r="BF44" i="7"/>
  <c r="BG44" i="7"/>
  <c r="FE48" i="1" s="1"/>
  <c r="AL46" i="7"/>
  <c r="AM46" i="7"/>
  <c r="AN46" i="7"/>
  <c r="AO46" i="7"/>
  <c r="AP46" i="7"/>
  <c r="AQ46" i="7"/>
  <c r="AR46" i="7"/>
  <c r="AS46" i="7"/>
  <c r="AT46" i="7"/>
  <c r="AU46" i="7"/>
  <c r="AV46" i="7"/>
  <c r="AW46" i="7"/>
  <c r="AX46" i="7"/>
  <c r="AY46" i="7"/>
  <c r="AZ46" i="7"/>
  <c r="BA46" i="7"/>
  <c r="BC46" i="7"/>
  <c r="BD46" i="7"/>
  <c r="BE46" i="7"/>
  <c r="BF46" i="7"/>
  <c r="BG46" i="7"/>
  <c r="FE50" i="1" s="1"/>
  <c r="AL47" i="7"/>
  <c r="AM47" i="7"/>
  <c r="AN47" i="7"/>
  <c r="AO47" i="7"/>
  <c r="AP47" i="7"/>
  <c r="AQ47" i="7"/>
  <c r="AR47" i="7"/>
  <c r="AS47" i="7"/>
  <c r="AT47" i="7"/>
  <c r="AU47" i="7"/>
  <c r="AV47" i="7"/>
  <c r="AW47" i="7"/>
  <c r="AX47" i="7"/>
  <c r="AY47" i="7"/>
  <c r="AZ47" i="7"/>
  <c r="BA47" i="7"/>
  <c r="BC47" i="7"/>
  <c r="BD47" i="7"/>
  <c r="BE47" i="7"/>
  <c r="BF47" i="7"/>
  <c r="BG47" i="7"/>
  <c r="FE51" i="1" s="1"/>
  <c r="AL48" i="7"/>
  <c r="AM48" i="7"/>
  <c r="AN48" i="7"/>
  <c r="AO48" i="7"/>
  <c r="AP48" i="7"/>
  <c r="AQ48" i="7"/>
  <c r="AR48" i="7"/>
  <c r="AS48" i="7"/>
  <c r="AT48" i="7"/>
  <c r="AU48" i="7"/>
  <c r="AV48" i="7"/>
  <c r="AW48" i="7"/>
  <c r="AX48" i="7"/>
  <c r="AY48" i="7"/>
  <c r="AZ48" i="7"/>
  <c r="BA48" i="7"/>
  <c r="BC48" i="7"/>
  <c r="BD48" i="7"/>
  <c r="BE48" i="7"/>
  <c r="BF48" i="7"/>
  <c r="BG48" i="7"/>
  <c r="FE52" i="1" s="1"/>
  <c r="AL49" i="7"/>
  <c r="AM49" i="7"/>
  <c r="AN49" i="7"/>
  <c r="AO49" i="7"/>
  <c r="AP49" i="7"/>
  <c r="AQ49" i="7"/>
  <c r="AR49" i="7"/>
  <c r="AS49" i="7"/>
  <c r="AT49" i="7"/>
  <c r="AU49" i="7"/>
  <c r="AV49" i="7"/>
  <c r="AW49" i="7"/>
  <c r="AX49" i="7"/>
  <c r="AY49" i="7"/>
  <c r="AZ49" i="7"/>
  <c r="BA49" i="7"/>
  <c r="BC49" i="7"/>
  <c r="BD49" i="7"/>
  <c r="BE49" i="7"/>
  <c r="BF49" i="7"/>
  <c r="BG49" i="7"/>
  <c r="FE53" i="1" s="1"/>
  <c r="AL76" i="7"/>
  <c r="AM76" i="7"/>
  <c r="AN76" i="7"/>
  <c r="AO76" i="7"/>
  <c r="AP76" i="7"/>
  <c r="AQ76" i="7"/>
  <c r="AR76" i="7"/>
  <c r="AS76" i="7"/>
  <c r="AT76" i="7"/>
  <c r="AU76" i="7"/>
  <c r="AV76" i="7"/>
  <c r="AW76" i="7"/>
  <c r="AX76" i="7"/>
  <c r="AY76" i="7"/>
  <c r="AZ76" i="7"/>
  <c r="BA76" i="7"/>
  <c r="BC76" i="7"/>
  <c r="BD76" i="7"/>
  <c r="BE76" i="7"/>
  <c r="BF76" i="7"/>
  <c r="BG76" i="7"/>
  <c r="BH76" i="7"/>
  <c r="AL75" i="7"/>
  <c r="AM75" i="7"/>
  <c r="AN75" i="7"/>
  <c r="AO75" i="7"/>
  <c r="AP75" i="7"/>
  <c r="AQ75" i="7"/>
  <c r="AR75" i="7"/>
  <c r="AS75" i="7"/>
  <c r="AT75" i="7"/>
  <c r="AU75" i="7"/>
  <c r="AV75" i="7"/>
  <c r="AW75" i="7"/>
  <c r="AX75" i="7"/>
  <c r="AY75" i="7"/>
  <c r="AZ75" i="7"/>
  <c r="BA75" i="7"/>
  <c r="BD75" i="7"/>
  <c r="BE75" i="7"/>
  <c r="AL50" i="7"/>
  <c r="AM50" i="7"/>
  <c r="AN50" i="7"/>
  <c r="AO50" i="7"/>
  <c r="AP50" i="7"/>
  <c r="AQ50" i="7"/>
  <c r="AR50" i="7"/>
  <c r="AS50" i="7"/>
  <c r="AT50" i="7"/>
  <c r="AU50" i="7"/>
  <c r="AV50" i="7"/>
  <c r="AW50" i="7"/>
  <c r="AX50" i="7"/>
  <c r="AY50" i="7"/>
  <c r="AZ50" i="7"/>
  <c r="BA50" i="7"/>
  <c r="BC50" i="7"/>
  <c r="BD50" i="7"/>
  <c r="BE50" i="7"/>
  <c r="BF50" i="7"/>
  <c r="BG50" i="7"/>
  <c r="FE56" i="1" s="1"/>
  <c r="AL51" i="7"/>
  <c r="AM51" i="7"/>
  <c r="AN51" i="7"/>
  <c r="AO51" i="7"/>
  <c r="AP51" i="7"/>
  <c r="AQ51" i="7"/>
  <c r="AR51" i="7"/>
  <c r="AS51" i="7"/>
  <c r="AT51" i="7"/>
  <c r="AU51" i="7"/>
  <c r="AV51" i="7"/>
  <c r="AW51" i="7"/>
  <c r="AX51" i="7"/>
  <c r="AY51" i="7"/>
  <c r="AZ51" i="7"/>
  <c r="BA51" i="7"/>
  <c r="BC51" i="7"/>
  <c r="BD51" i="7"/>
  <c r="BE51" i="7"/>
  <c r="BF51" i="7"/>
  <c r="FF57" i="1" s="1"/>
  <c r="BG51" i="7"/>
  <c r="FE57" i="1" s="1"/>
  <c r="AL52" i="7"/>
  <c r="AM52" i="7"/>
  <c r="AN52" i="7"/>
  <c r="AO52" i="7"/>
  <c r="AP52" i="7"/>
  <c r="AQ52" i="7"/>
  <c r="AR52" i="7"/>
  <c r="AS52" i="7"/>
  <c r="AT52" i="7"/>
  <c r="AU52" i="7"/>
  <c r="AV52" i="7"/>
  <c r="AW52" i="7"/>
  <c r="AX52" i="7"/>
  <c r="AY52" i="7"/>
  <c r="AZ52" i="7"/>
  <c r="BA52" i="7"/>
  <c r="BC52" i="7"/>
  <c r="BD52" i="7"/>
  <c r="BE52" i="7"/>
  <c r="BF52" i="7"/>
  <c r="FF58" i="1" s="1"/>
  <c r="BG52" i="7"/>
  <c r="FE58" i="1" s="1"/>
  <c r="AL53" i="7"/>
  <c r="AM53" i="7"/>
  <c r="AN53" i="7"/>
  <c r="AO53" i="7"/>
  <c r="AP53" i="7"/>
  <c r="AQ53" i="7"/>
  <c r="AR53" i="7"/>
  <c r="AS53" i="7"/>
  <c r="AT53" i="7"/>
  <c r="AU53" i="7"/>
  <c r="AV53" i="7"/>
  <c r="AW53" i="7"/>
  <c r="AX53" i="7"/>
  <c r="AY53" i="7"/>
  <c r="AZ53" i="7"/>
  <c r="BA53" i="7"/>
  <c r="BC53" i="7"/>
  <c r="BD53" i="7"/>
  <c r="BE53" i="7"/>
  <c r="BF53" i="7"/>
  <c r="FF59" i="1" s="1"/>
  <c r="BG53" i="7"/>
  <c r="FE59" i="1" s="1"/>
  <c r="AL54" i="7"/>
  <c r="AM54" i="7"/>
  <c r="AN54" i="7"/>
  <c r="AO54" i="7"/>
  <c r="AP54" i="7"/>
  <c r="AQ54" i="7"/>
  <c r="AR54" i="7"/>
  <c r="AS54" i="7"/>
  <c r="AT54" i="7"/>
  <c r="AU54" i="7"/>
  <c r="AV54" i="7"/>
  <c r="AW54" i="7"/>
  <c r="AX54" i="7"/>
  <c r="AY54" i="7"/>
  <c r="AZ54" i="7"/>
  <c r="BA54" i="7"/>
  <c r="BC54" i="7"/>
  <c r="BD54" i="7"/>
  <c r="BE54" i="7"/>
  <c r="BF54" i="7"/>
  <c r="FF60" i="1" s="1"/>
  <c r="BG54" i="7"/>
  <c r="FE60" i="1" s="1"/>
  <c r="AL55" i="7"/>
  <c r="AM55" i="7"/>
  <c r="AN55" i="7"/>
  <c r="AO55" i="7"/>
  <c r="AP55" i="7"/>
  <c r="AQ55" i="7"/>
  <c r="AR55" i="7"/>
  <c r="AS55" i="7"/>
  <c r="AT55" i="7"/>
  <c r="AU55" i="7"/>
  <c r="AV55" i="7"/>
  <c r="AW55" i="7"/>
  <c r="AX55" i="7"/>
  <c r="AY55" i="7"/>
  <c r="AZ55" i="7"/>
  <c r="BA55" i="7"/>
  <c r="BC55" i="7"/>
  <c r="BD55" i="7"/>
  <c r="BE55" i="7"/>
  <c r="BF55" i="7"/>
  <c r="FF61" i="1" s="1"/>
  <c r="BG55" i="7"/>
  <c r="FE61" i="1" s="1"/>
  <c r="AB43" i="1"/>
  <c r="F591" i="5"/>
  <c r="F593" i="5"/>
  <c r="F592" i="5"/>
  <c r="D591" i="5"/>
  <c r="D590" i="5"/>
  <c r="D597" i="5" s="1"/>
  <c r="H560" i="5"/>
  <c r="I560" i="5" s="1"/>
  <c r="H559" i="5"/>
  <c r="I559" i="5" s="1"/>
  <c r="H564" i="5"/>
  <c r="I564" i="5" s="1"/>
  <c r="H563" i="5"/>
  <c r="I563" i="5" s="1"/>
  <c r="H562" i="5"/>
  <c r="I562" i="5" s="1"/>
  <c r="H561" i="5"/>
  <c r="I561" i="5" s="1"/>
  <c r="H567" i="5"/>
  <c r="I567" i="5" s="1"/>
  <c r="H571" i="5"/>
  <c r="I571" i="5" s="1"/>
  <c r="H570" i="5"/>
  <c r="I570" i="5" s="1"/>
  <c r="H569" i="5"/>
  <c r="I569" i="5" s="1"/>
  <c r="H574" i="5"/>
  <c r="I574" i="5" s="1"/>
  <c r="H573" i="5"/>
  <c r="I573" i="5" s="1"/>
  <c r="H577" i="5"/>
  <c r="I577" i="5" s="1"/>
  <c r="H576" i="5"/>
  <c r="I576" i="5" s="1"/>
  <c r="H584" i="5"/>
  <c r="I584" i="5" s="1"/>
  <c r="H583" i="5"/>
  <c r="I583" i="5" s="1"/>
  <c r="H582" i="5"/>
  <c r="I582" i="5" s="1"/>
  <c r="H579" i="5"/>
  <c r="I579" i="5" s="1"/>
  <c r="H585" i="5"/>
  <c r="I585" i="5" s="1"/>
  <c r="C588" i="5"/>
  <c r="L588" i="5"/>
  <c r="L589" i="5" s="1"/>
  <c r="I555" i="5"/>
  <c r="H555" i="5"/>
  <c r="C555" i="5"/>
  <c r="AD4" i="1"/>
  <c r="C541" i="5"/>
  <c r="C546" i="5" s="1"/>
  <c r="E538" i="5"/>
  <c r="E537" i="5"/>
  <c r="E539" i="5"/>
  <c r="E536" i="5"/>
  <c r="E535" i="5"/>
  <c r="E540" i="5" s="1"/>
  <c r="BV50" i="1"/>
  <c r="AD50" i="1"/>
  <c r="Z50" i="1"/>
  <c r="I535" i="5"/>
  <c r="I534" i="5"/>
  <c r="C533" i="5"/>
  <c r="I506" i="5"/>
  <c r="H501" i="5"/>
  <c r="H506" i="5" s="1"/>
  <c r="C499" i="5"/>
  <c r="C506" i="5" s="1"/>
  <c r="C496" i="5"/>
  <c r="BV47" i="1"/>
  <c r="D490" i="5"/>
  <c r="D489" i="5"/>
  <c r="D488" i="5"/>
  <c r="H486" i="5"/>
  <c r="C473" i="5"/>
  <c r="C474" i="5"/>
  <c r="C475" i="5"/>
  <c r="C476" i="5"/>
  <c r="C477" i="5"/>
  <c r="C478" i="5"/>
  <c r="C479" i="5"/>
  <c r="C480" i="5"/>
  <c r="C481" i="5"/>
  <c r="C482" i="5"/>
  <c r="C484" i="5"/>
  <c r="C472" i="5"/>
  <c r="C486" i="5" s="1"/>
  <c r="I485" i="5"/>
  <c r="I486" i="5" s="1"/>
  <c r="D468" i="5"/>
  <c r="C468" i="5"/>
  <c r="C448" i="5"/>
  <c r="H447" i="5"/>
  <c r="I447" i="5" s="1"/>
  <c r="H446" i="5"/>
  <c r="I446" i="5" s="1"/>
  <c r="H444" i="5"/>
  <c r="I444" i="5" s="1"/>
  <c r="H443" i="5"/>
  <c r="I443" i="5" s="1"/>
  <c r="H441" i="5"/>
  <c r="I441" i="5" s="1"/>
  <c r="L440" i="5"/>
  <c r="L439" i="5"/>
  <c r="C438" i="5"/>
  <c r="L424" i="5"/>
  <c r="L425" i="5"/>
  <c r="C421" i="5"/>
  <c r="C418" i="5"/>
  <c r="C423" i="5" s="1"/>
  <c r="C409" i="5"/>
  <c r="Q403" i="5"/>
  <c r="K398" i="5"/>
  <c r="L398" i="5"/>
  <c r="K399" i="5"/>
  <c r="L399" i="5"/>
  <c r="J399" i="5"/>
  <c r="J398" i="5"/>
  <c r="D396" i="5"/>
  <c r="I388" i="5"/>
  <c r="I386" i="5"/>
  <c r="H396" i="5"/>
  <c r="C396" i="5"/>
  <c r="N403" i="5"/>
  <c r="I391" i="5"/>
  <c r="I390" i="5"/>
  <c r="E388" i="5"/>
  <c r="I384" i="5"/>
  <c r="I381" i="5"/>
  <c r="I379" i="5"/>
  <c r="I378" i="5"/>
  <c r="I393" i="5"/>
  <c r="F380" i="5"/>
  <c r="F396" i="5" s="1"/>
  <c r="E383" i="5"/>
  <c r="E396" i="5" s="1"/>
  <c r="K375" i="5"/>
  <c r="L375" i="5"/>
  <c r="K376" i="5"/>
  <c r="L376" i="5"/>
  <c r="J376" i="5"/>
  <c r="J375" i="5"/>
  <c r="H366" i="5"/>
  <c r="C365" i="5"/>
  <c r="C373" i="5" s="1"/>
  <c r="J360" i="5"/>
  <c r="K361" i="5"/>
  <c r="L361" i="5"/>
  <c r="J361" i="5"/>
  <c r="K360" i="5"/>
  <c r="L360" i="5"/>
  <c r="C359" i="5"/>
  <c r="H354" i="5"/>
  <c r="H352" i="5"/>
  <c r="H351" i="5"/>
  <c r="N346" i="5"/>
  <c r="F346" i="5"/>
  <c r="F345" i="5"/>
  <c r="F344" i="5"/>
  <c r="F343" i="5"/>
  <c r="F348" i="5" s="1"/>
  <c r="C347" i="5"/>
  <c r="C346" i="5"/>
  <c r="C342" i="5"/>
  <c r="C343" i="5"/>
  <c r="C345" i="5"/>
  <c r="C344" i="5"/>
  <c r="C340" i="5"/>
  <c r="P316" i="5"/>
  <c r="L317" i="5"/>
  <c r="L316" i="5"/>
  <c r="L315" i="5"/>
  <c r="C314" i="5"/>
  <c r="C299" i="5"/>
  <c r="C291" i="5"/>
  <c r="K292" i="5"/>
  <c r="K293" i="5"/>
  <c r="J293" i="5"/>
  <c r="J292" i="5"/>
  <c r="F291" i="5"/>
  <c r="D278" i="5"/>
  <c r="E278" i="5"/>
  <c r="F278" i="5"/>
  <c r="C278" i="5"/>
  <c r="C279" i="5" s="1"/>
  <c r="L249" i="5"/>
  <c r="L250" i="5"/>
  <c r="J250" i="5"/>
  <c r="K249" i="5"/>
  <c r="K250" i="5"/>
  <c r="J249" i="5"/>
  <c r="I246" i="5"/>
  <c r="H246" i="5"/>
  <c r="C246" i="5"/>
  <c r="K239" i="5"/>
  <c r="J239" i="5"/>
  <c r="K240" i="5"/>
  <c r="J240" i="5"/>
  <c r="H235" i="5"/>
  <c r="I235" i="5" s="1"/>
  <c r="H230" i="5"/>
  <c r="I230" i="5" s="1"/>
  <c r="H231" i="5"/>
  <c r="I231" i="5" s="1"/>
  <c r="H232" i="5"/>
  <c r="I232" i="5" s="1"/>
  <c r="H234" i="5"/>
  <c r="I234" i="5" s="1"/>
  <c r="H229" i="5"/>
  <c r="C236" i="5"/>
  <c r="CK42" i="1"/>
  <c r="D224" i="5"/>
  <c r="C180" i="5"/>
  <c r="K181" i="5"/>
  <c r="J181" i="5"/>
  <c r="K180" i="5"/>
  <c r="J180" i="5"/>
  <c r="K150" i="5"/>
  <c r="J150" i="5"/>
  <c r="J149" i="5"/>
  <c r="K149" i="5"/>
  <c r="C148" i="5"/>
  <c r="C132" i="5"/>
  <c r="CK19" i="1"/>
  <c r="CK20" i="1"/>
  <c r="CK21" i="1"/>
  <c r="CK22" i="1"/>
  <c r="CK23" i="1"/>
  <c r="CK24" i="1"/>
  <c r="CK25" i="1"/>
  <c r="CK26" i="1"/>
  <c r="CK27" i="1"/>
  <c r="CK28" i="1"/>
  <c r="CK29" i="1"/>
  <c r="CK30" i="1"/>
  <c r="CK32" i="1"/>
  <c r="CK33" i="1"/>
  <c r="CK34" i="1"/>
  <c r="CK36" i="1"/>
  <c r="CK37" i="1"/>
  <c r="CK40" i="1"/>
  <c r="CK41" i="1"/>
  <c r="CK43" i="1"/>
  <c r="CK44" i="1"/>
  <c r="CK45" i="1"/>
  <c r="CK46" i="1"/>
  <c r="CK47" i="1"/>
  <c r="CK48" i="1"/>
  <c r="CK50" i="1"/>
  <c r="CK51" i="1"/>
  <c r="CK52" i="1"/>
  <c r="CK54" i="1"/>
  <c r="CK55" i="1"/>
  <c r="CK56" i="1"/>
  <c r="CK57" i="1"/>
  <c r="CK58" i="1"/>
  <c r="CK59" i="1"/>
  <c r="CK60" i="1"/>
  <c r="CK35" i="1"/>
  <c r="CK53" i="1"/>
  <c r="CK4" i="1"/>
  <c r="CK5" i="1"/>
  <c r="CK6" i="1"/>
  <c r="CK7" i="1"/>
  <c r="CK8" i="1"/>
  <c r="CK9" i="1"/>
  <c r="CK10" i="1"/>
  <c r="CK11" i="1"/>
  <c r="CK15" i="1"/>
  <c r="CK16" i="1"/>
  <c r="CK17" i="1"/>
  <c r="CA19" i="1"/>
  <c r="CA20" i="1"/>
  <c r="CA21" i="1"/>
  <c r="CA22" i="1"/>
  <c r="CA23" i="1"/>
  <c r="CA24" i="1"/>
  <c r="CA25" i="1"/>
  <c r="CA26" i="1"/>
  <c r="CA27" i="1"/>
  <c r="CA28" i="1"/>
  <c r="CA29" i="1"/>
  <c r="CA30" i="1"/>
  <c r="CA32" i="1"/>
  <c r="CA33" i="1"/>
  <c r="CA34" i="1"/>
  <c r="CA36" i="1"/>
  <c r="CA37" i="1"/>
  <c r="CA40" i="1"/>
  <c r="CA41" i="1"/>
  <c r="CA42" i="1"/>
  <c r="CA43" i="1"/>
  <c r="CA44" i="1"/>
  <c r="CA45" i="1"/>
  <c r="CA46" i="1"/>
  <c r="CA47" i="1"/>
  <c r="CA48" i="1"/>
  <c r="CA50" i="1"/>
  <c r="CA51" i="1"/>
  <c r="CA52" i="1"/>
  <c r="CA54" i="1"/>
  <c r="CA55" i="1"/>
  <c r="CA56" i="1"/>
  <c r="CA57" i="1"/>
  <c r="CA58" i="1"/>
  <c r="CA59" i="1"/>
  <c r="CA60" i="1"/>
  <c r="CA35" i="1"/>
  <c r="CA53" i="1"/>
  <c r="CA5" i="1"/>
  <c r="CA6" i="1"/>
  <c r="CA7" i="1"/>
  <c r="CA8" i="1"/>
  <c r="CA9" i="1"/>
  <c r="CA10" i="1"/>
  <c r="CA11" i="1"/>
  <c r="CA15" i="1"/>
  <c r="CA16" i="1"/>
  <c r="CA17" i="1"/>
  <c r="CA4" i="1"/>
  <c r="C118" i="5"/>
  <c r="C121" i="5" s="1"/>
  <c r="Q107" i="5"/>
  <c r="H112" i="5"/>
  <c r="I112" i="5"/>
  <c r="C109" i="5"/>
  <c r="C107" i="5"/>
  <c r="C99" i="5"/>
  <c r="C100" i="5"/>
  <c r="C101" i="5"/>
  <c r="C103" i="5"/>
  <c r="C105" i="5"/>
  <c r="AL4" i="7"/>
  <c r="AM4" i="7"/>
  <c r="AM66" i="7" s="1"/>
  <c r="AN4" i="7"/>
  <c r="AN66" i="7" s="1"/>
  <c r="AO4" i="7"/>
  <c r="AO66" i="7" s="1"/>
  <c r="AP4" i="7"/>
  <c r="AP66" i="7" s="1"/>
  <c r="AQ4" i="7"/>
  <c r="AQ66" i="7" s="1"/>
  <c r="AR4" i="7"/>
  <c r="AR66" i="7" s="1"/>
  <c r="AS4" i="7"/>
  <c r="AT4" i="7"/>
  <c r="AU4" i="7"/>
  <c r="AU66" i="7" s="1"/>
  <c r="AV4" i="7"/>
  <c r="AV66" i="7" s="1"/>
  <c r="AW4" i="7"/>
  <c r="AW66" i="7" s="1"/>
  <c r="AX4" i="7"/>
  <c r="AX66" i="7" s="1"/>
  <c r="AY4" i="7"/>
  <c r="AY66" i="7" s="1"/>
  <c r="AZ4" i="7"/>
  <c r="AZ66" i="7" s="1"/>
  <c r="BA4" i="7"/>
  <c r="BA66" i="7" s="1"/>
  <c r="I96" i="5"/>
  <c r="H96" i="5"/>
  <c r="C96" i="5"/>
  <c r="X48" i="1"/>
  <c r="P74" i="5"/>
  <c r="P73" i="5"/>
  <c r="P72" i="5"/>
  <c r="P76" i="5"/>
  <c r="P79" i="5"/>
  <c r="P78" i="5"/>
  <c r="P82" i="5"/>
  <c r="P81" i="5"/>
  <c r="P85" i="5"/>
  <c r="P84" i="5"/>
  <c r="P86" i="5"/>
  <c r="C87" i="5"/>
  <c r="C85" i="5"/>
  <c r="C83" i="5"/>
  <c r="C82" i="5"/>
  <c r="C81" i="5"/>
  <c r="C80" i="5"/>
  <c r="C79" i="5"/>
  <c r="C78" i="5"/>
  <c r="C77" i="5"/>
  <c r="C76" i="5"/>
  <c r="C75" i="5"/>
  <c r="C73" i="5"/>
  <c r="C72" i="5"/>
  <c r="C86" i="5"/>
  <c r="I88" i="5"/>
  <c r="I69" i="5"/>
  <c r="C68" i="5"/>
  <c r="C67" i="5"/>
  <c r="C65" i="5"/>
  <c r="C64" i="5"/>
  <c r="C69" i="5" s="1"/>
  <c r="H66" i="5"/>
  <c r="H69" i="5" s="1"/>
  <c r="AB15" i="1"/>
  <c r="FG61" i="1" l="1"/>
  <c r="FG60" i="1"/>
  <c r="FG59" i="1"/>
  <c r="FG58" i="1"/>
  <c r="FG57" i="1"/>
  <c r="FG69" i="1"/>
  <c r="FG62" i="1"/>
  <c r="FG68" i="1"/>
  <c r="FG67" i="1"/>
  <c r="FG63" i="1"/>
  <c r="FG65" i="1"/>
  <c r="FG64" i="1"/>
  <c r="FG66" i="1"/>
  <c r="BC4" i="7"/>
  <c r="BH55" i="7"/>
  <c r="BH54" i="7"/>
  <c r="BH53" i="7"/>
  <c r="BH52" i="7"/>
  <c r="BH51" i="7"/>
  <c r="FF56" i="1"/>
  <c r="BH50" i="7"/>
  <c r="FF53" i="1"/>
  <c r="BH49" i="7"/>
  <c r="FF52" i="1"/>
  <c r="BH48" i="7"/>
  <c r="FF51" i="1"/>
  <c r="BH47" i="7"/>
  <c r="FF50" i="1"/>
  <c r="BH46" i="7"/>
  <c r="FF48" i="1"/>
  <c r="BH44" i="7"/>
  <c r="FF47" i="1"/>
  <c r="BH43" i="7"/>
  <c r="FF46" i="1"/>
  <c r="BH42" i="7"/>
  <c r="FF45" i="1"/>
  <c r="BH41" i="7"/>
  <c r="FF44" i="1"/>
  <c r="BH40" i="7"/>
  <c r="FF43" i="1"/>
  <c r="BH39" i="7"/>
  <c r="FF42" i="1"/>
  <c r="BH38" i="7"/>
  <c r="FF41" i="1"/>
  <c r="BH37" i="7"/>
  <c r="FF37" i="1"/>
  <c r="BH34" i="7"/>
  <c r="FF36" i="1"/>
  <c r="BH33" i="7"/>
  <c r="FF35" i="1"/>
  <c r="BH32" i="7"/>
  <c r="FF34" i="1"/>
  <c r="BH31" i="7"/>
  <c r="FF33" i="1"/>
  <c r="BH30" i="7"/>
  <c r="FF32" i="1"/>
  <c r="BH29" i="7"/>
  <c r="FF30" i="1"/>
  <c r="BH28" i="7"/>
  <c r="FF29" i="1"/>
  <c r="BH27" i="7"/>
  <c r="FF28" i="1"/>
  <c r="BH26" i="7"/>
  <c r="FF27" i="1"/>
  <c r="BH25" i="7"/>
  <c r="FF26" i="1"/>
  <c r="BH24" i="7"/>
  <c r="FF25" i="1"/>
  <c r="BH23" i="7"/>
  <c r="FF24" i="1"/>
  <c r="BH22" i="7"/>
  <c r="FF23" i="1"/>
  <c r="BH21" i="7"/>
  <c r="FF22" i="1"/>
  <c r="BH20" i="7"/>
  <c r="FF21" i="1"/>
  <c r="BH19" i="7"/>
  <c r="FF20" i="1"/>
  <c r="BH18" i="7"/>
  <c r="FF19" i="1"/>
  <c r="BH17" i="7"/>
  <c r="FF17" i="1"/>
  <c r="BH15" i="7"/>
  <c r="FF16" i="1"/>
  <c r="BH14" i="7"/>
  <c r="FF15" i="1"/>
  <c r="BH13" i="7"/>
  <c r="FF11" i="1"/>
  <c r="BH11" i="7"/>
  <c r="FF10" i="1"/>
  <c r="BH10" i="7"/>
  <c r="FF9" i="1"/>
  <c r="BH9" i="7"/>
  <c r="FF8" i="1"/>
  <c r="BH8" i="7"/>
  <c r="FF7" i="1"/>
  <c r="BH7" i="7"/>
  <c r="FF6" i="1"/>
  <c r="BH6" i="7"/>
  <c r="FF5" i="1"/>
  <c r="BH5" i="7"/>
  <c r="FF39" i="1"/>
  <c r="BH36" i="7"/>
  <c r="FF38" i="1"/>
  <c r="BH35" i="7"/>
  <c r="FF14" i="1"/>
  <c r="BH12" i="7"/>
  <c r="FF49" i="1"/>
  <c r="BH45" i="7"/>
  <c r="FF18" i="1"/>
  <c r="BH16" i="7"/>
  <c r="AJ81" i="1"/>
  <c r="AU82" i="1"/>
  <c r="AU81" i="1"/>
  <c r="AZ81" i="1"/>
  <c r="BB81" i="1"/>
  <c r="BD81" i="1"/>
  <c r="BF81" i="1"/>
  <c r="BH81" i="1"/>
  <c r="BJ81" i="1"/>
  <c r="AX81" i="1"/>
  <c r="F82" i="1"/>
  <c r="H82" i="1" s="1"/>
  <c r="H78" i="1"/>
  <c r="BD4" i="7"/>
  <c r="BB68" i="7"/>
  <c r="BC75" i="7"/>
  <c r="AL66" i="7"/>
  <c r="AL65" i="7"/>
  <c r="AT66" i="7"/>
  <c r="AS66" i="7"/>
  <c r="BA64" i="7"/>
  <c r="BA65" i="7"/>
  <c r="AZ64" i="7"/>
  <c r="AZ65" i="7"/>
  <c r="AY64" i="7"/>
  <c r="AY65" i="7"/>
  <c r="AX64" i="7"/>
  <c r="AX65" i="7"/>
  <c r="AW64" i="7"/>
  <c r="AW65" i="7"/>
  <c r="AV64" i="7"/>
  <c r="AV65" i="7"/>
  <c r="AU64" i="7"/>
  <c r="AU65" i="7"/>
  <c r="AT64" i="7"/>
  <c r="AT65" i="7"/>
  <c r="AS64" i="7"/>
  <c r="AS65" i="7"/>
  <c r="AR64" i="7"/>
  <c r="AR65" i="7"/>
  <c r="AQ64" i="7"/>
  <c r="AQ65" i="7"/>
  <c r="AP64" i="7"/>
  <c r="AP65" i="7"/>
  <c r="AO64" i="7"/>
  <c r="AO65" i="7"/>
  <c r="AN64" i="7"/>
  <c r="AN65" i="7"/>
  <c r="AM64" i="7"/>
  <c r="AM65" i="7"/>
  <c r="AL64" i="7"/>
  <c r="AL67" i="7"/>
  <c r="FG56" i="1"/>
  <c r="FG53" i="1"/>
  <c r="FG52" i="1"/>
  <c r="FG51" i="1"/>
  <c r="FG50" i="1"/>
  <c r="FG48" i="1"/>
  <c r="FG47" i="1"/>
  <c r="FG46" i="1"/>
  <c r="FG45" i="1"/>
  <c r="FG44" i="1"/>
  <c r="FG43" i="1"/>
  <c r="FG42" i="1"/>
  <c r="FG41" i="1"/>
  <c r="FG37" i="1"/>
  <c r="FG36" i="1"/>
  <c r="FG35" i="1"/>
  <c r="FG34" i="1"/>
  <c r="FG33" i="1"/>
  <c r="FG32" i="1"/>
  <c r="FG30" i="1"/>
  <c r="FG29" i="1"/>
  <c r="FG28" i="1"/>
  <c r="FG27" i="1"/>
  <c r="FG26" i="1"/>
  <c r="FG25" i="1"/>
  <c r="FG24" i="1"/>
  <c r="FG23" i="1"/>
  <c r="FG22" i="1"/>
  <c r="FG21" i="1"/>
  <c r="FG20" i="1"/>
  <c r="FG19" i="1"/>
  <c r="FG17" i="1"/>
  <c r="FG16" i="1"/>
  <c r="FG15" i="1"/>
  <c r="FG11" i="1"/>
  <c r="FG10" i="1"/>
  <c r="FG9" i="1"/>
  <c r="FG8" i="1"/>
  <c r="FG7" i="1"/>
  <c r="FG6" i="1"/>
  <c r="FG5" i="1"/>
  <c r="FG39" i="1"/>
  <c r="FG38" i="1"/>
  <c r="FG14" i="1"/>
  <c r="FG49" i="1"/>
  <c r="FG18" i="1"/>
  <c r="I646" i="5"/>
  <c r="G646" i="5"/>
  <c r="I642" i="5"/>
  <c r="G642" i="5"/>
  <c r="I644" i="5"/>
  <c r="G644" i="5"/>
  <c r="H707" i="5"/>
  <c r="I696" i="5"/>
  <c r="I707" i="5" s="1"/>
  <c r="H647" i="5"/>
  <c r="G647" i="5" s="1"/>
  <c r="I638" i="5"/>
  <c r="I647" i="5"/>
  <c r="F594" i="5"/>
  <c r="L451" i="5"/>
  <c r="L450" i="5"/>
  <c r="I396" i="5"/>
  <c r="I366" i="5"/>
  <c r="I373" i="5" s="1"/>
  <c r="H373" i="5"/>
  <c r="C348" i="5"/>
  <c r="C292" i="5"/>
  <c r="H236" i="5"/>
  <c r="I229" i="5"/>
  <c r="I236" i="5" s="1"/>
  <c r="C112" i="5"/>
  <c r="H88" i="5"/>
  <c r="C88" i="5"/>
  <c r="AD11" i="1"/>
  <c r="AB11" i="1" s="1"/>
  <c r="D56" i="5"/>
  <c r="D57" i="5"/>
  <c r="D60" i="5"/>
  <c r="I59" i="5"/>
  <c r="I61" i="5" s="1"/>
  <c r="H59" i="5"/>
  <c r="C54" i="5"/>
  <c r="BF75" i="7" l="1"/>
  <c r="BG75" i="7"/>
  <c r="AM67" i="7"/>
  <c r="AM68" i="7" s="1"/>
  <c r="AN67" i="7"/>
  <c r="AO67" i="7"/>
  <c r="AP67" i="7"/>
  <c r="AP68" i="7" s="1"/>
  <c r="AQ67" i="7"/>
  <c r="AQ68" i="7" s="1"/>
  <c r="AR67" i="7"/>
  <c r="AR68" i="7" s="1"/>
  <c r="AU67" i="7"/>
  <c r="AU68" i="7" s="1"/>
  <c r="AV67" i="7"/>
  <c r="AW67" i="7"/>
  <c r="AX67" i="7"/>
  <c r="AX68" i="7" s="1"/>
  <c r="AY67" i="7"/>
  <c r="AY68" i="7" s="1"/>
  <c r="AZ67" i="7"/>
  <c r="BA67" i="7"/>
  <c r="AT67" i="7"/>
  <c r="AT68" i="7" s="1"/>
  <c r="AS67" i="7"/>
  <c r="H61" i="5"/>
  <c r="D59" i="5"/>
  <c r="D61" i="5"/>
  <c r="C37" i="5"/>
  <c r="E37" i="5"/>
  <c r="D37" i="5"/>
  <c r="BH75" i="7" l="1"/>
  <c r="FG77" i="1"/>
  <c r="BE4" i="7"/>
  <c r="BG4" i="7" s="1"/>
  <c r="BF4" i="7"/>
  <c r="FE4" i="1"/>
  <c r="FF4" i="1" l="1"/>
  <c r="BH4" i="7"/>
  <c r="FG78" i="1"/>
  <c r="FG4" i="1"/>
  <c r="FG80" i="1" s="1"/>
  <c r="FG81" i="1" l="1"/>
  <c r="FG79" i="1"/>
  <c r="Q14" i="5"/>
  <c r="R14" i="5"/>
  <c r="S14" i="5"/>
  <c r="T14" i="5"/>
  <c r="U14" i="5"/>
  <c r="Q15" i="5"/>
  <c r="R15" i="5"/>
  <c r="S15" i="5"/>
  <c r="T15" i="5"/>
  <c r="U15" i="5"/>
  <c r="P15" i="5"/>
  <c r="P14" i="5"/>
  <c r="S16" i="5" l="1"/>
  <c r="P16" i="5"/>
  <c r="P17" i="5" s="1"/>
  <c r="T16" i="5"/>
  <c r="T17" i="5" s="1"/>
  <c r="Q16" i="5"/>
  <c r="Q17" i="5" s="1"/>
  <c r="U16" i="5"/>
  <c r="U17" i="5" s="1"/>
  <c r="S17" i="5"/>
  <c r="R16" i="5"/>
  <c r="R17" i="5" s="1"/>
  <c r="BV53" i="1"/>
  <c r="BV35" i="1"/>
  <c r="BV7" i="1"/>
  <c r="BV46" i="1"/>
  <c r="BV40" i="1"/>
  <c r="BV36" i="1"/>
  <c r="BV20" i="1"/>
  <c r="BV4" i="1"/>
  <c r="BV45" i="1"/>
  <c r="BV60" i="1"/>
  <c r="BV58" i="1"/>
  <c r="BV57" i="1"/>
  <c r="BV56" i="1"/>
  <c r="BV55" i="1"/>
  <c r="BV54" i="1"/>
  <c r="BV52" i="1"/>
  <c r="BV51" i="1"/>
  <c r="BV48" i="1"/>
  <c r="BV43" i="1"/>
  <c r="BV37" i="1"/>
  <c r="BV34" i="1"/>
  <c r="BV33" i="1"/>
  <c r="BV32" i="1"/>
  <c r="BV30" i="1"/>
  <c r="BV28" i="1"/>
  <c r="BV27" i="1"/>
  <c r="BV26" i="1"/>
  <c r="BV25" i="1"/>
  <c r="BV24" i="1"/>
  <c r="BV22" i="1"/>
  <c r="BV21" i="1"/>
  <c r="BV19" i="1"/>
  <c r="BV17" i="1"/>
  <c r="BV16" i="1"/>
  <c r="BV15" i="1"/>
  <c r="BV11" i="1"/>
  <c r="BV10" i="1"/>
  <c r="BV9" i="1"/>
  <c r="BV8" i="1"/>
  <c r="BV6" i="1"/>
  <c r="BV29" i="1"/>
  <c r="BV23" i="1"/>
  <c r="BV44" i="1"/>
  <c r="BV59" i="1"/>
  <c r="BV42" i="1"/>
  <c r="BV41" i="1"/>
  <c r="BV5" i="1"/>
  <c r="H13" i="5"/>
  <c r="I13" i="5" s="1"/>
  <c r="H3" i="5"/>
  <c r="I3" i="5" s="1"/>
  <c r="H4" i="5"/>
  <c r="I4" i="5" s="1"/>
  <c r="H5" i="5"/>
  <c r="I5" i="5" s="1"/>
  <c r="H7" i="5"/>
  <c r="I7" i="5" s="1"/>
  <c r="H8" i="5"/>
  <c r="I8" i="5" s="1"/>
  <c r="H9" i="5"/>
  <c r="I9" i="5" s="1"/>
  <c r="H10" i="5"/>
  <c r="I10" i="5" s="1"/>
  <c r="H11" i="5"/>
  <c r="I11" i="5" s="1"/>
  <c r="H12" i="5"/>
  <c r="I12" i="5" s="1"/>
  <c r="AB5" i="1"/>
  <c r="AB78" i="1" s="1"/>
  <c r="I6" i="5"/>
  <c r="I14" i="5" s="1"/>
  <c r="G6" i="5"/>
  <c r="H14" i="5"/>
  <c r="I565" i="5"/>
  <c r="G565" i="5"/>
  <c r="G581" i="5"/>
  <c r="I581" i="5"/>
  <c r="I558" i="5"/>
  <c r="G558" i="5"/>
  <c r="H580" i="5"/>
  <c r="I580" i="5" s="1"/>
  <c r="I588" i="5" s="1"/>
  <c r="H588" i="5"/>
</calcChain>
</file>

<file path=xl/sharedStrings.xml><?xml version="1.0" encoding="utf-8"?>
<sst xmlns="http://schemas.openxmlformats.org/spreadsheetml/2006/main" count="11123" uniqueCount="2718">
  <si>
    <t>Note where we specify that data extraction is for "included studie that meet our eligibility criteria", the data extraction is specific to studies that meet the following review criteria:</t>
  </si>
  <si>
    <t>Sample</t>
  </si>
  <si>
    <t>&gt;=50% 18 years or older and not participating in school setting; &gt;=50% have ASD, ID or PD; living in community or small group homes</t>
  </si>
  <si>
    <t>Phenomena of Interest</t>
  </si>
  <si>
    <t>Aspects of SCC capacity or participation</t>
  </si>
  <si>
    <t>Design, Evaluation and outcomes and Research Types</t>
  </si>
  <si>
    <t>Systematic, scoping or rapid review, prospective within/between group design, cross-sectional between groups designs or case studies with multiple baseline. The information reported studies must provide sufficient relevant data for extraction and synthesis</t>
  </si>
  <si>
    <t>rin</t>
  </si>
  <si>
    <t>DESIGN</t>
  </si>
  <si>
    <t>STUDY SELECTION</t>
  </si>
  <si>
    <t>POPULATION</t>
  </si>
  <si>
    <t>INTERVENTION POOLED CHARACTERISTICS</t>
  </si>
  <si>
    <t>EVALUATION</t>
  </si>
  <si>
    <t>COMPARISON GROUP</t>
  </si>
  <si>
    <t>PRIMARY OUTCOMES (can be quantitative or qualitative)</t>
  </si>
  <si>
    <t>SECONDARY OUTCOMES (can be quantitative or qualitative)</t>
  </si>
  <si>
    <t>CLINICAL OUTCOMES</t>
  </si>
  <si>
    <t>QUALITY / RISK OF BIAS / CERTAINTY OF EVIDENCE APPRAISED IN THE REVIEW</t>
  </si>
  <si>
    <t>META-ANALYSES</t>
  </si>
  <si>
    <t>HETEROGENEITY OF INCLUDED STUDIES
(ELIGIBLE FOR OUR RVW)</t>
  </si>
  <si>
    <t>AUTHOR FUNDING SOURCES</t>
  </si>
  <si>
    <t>AUTHOR CONFLICT OF INTEREST</t>
  </si>
  <si>
    <t>AMSTAR</t>
  </si>
  <si>
    <t>SEARCH STRATEGY</t>
  </si>
  <si>
    <t>SEARCH YEARS</t>
  </si>
  <si>
    <t>THEORETICAL FRAMEWORK/CONCEPTS</t>
  </si>
  <si>
    <t>REVIEW DESIGN PRESENTATION</t>
  </si>
  <si>
    <t>Pooled sample characteristics</t>
  </si>
  <si>
    <r>
      <t xml:space="preserve">Continents/countries for included </t>
    </r>
    <r>
      <rPr>
        <b/>
        <sz val="11"/>
        <color theme="1"/>
        <rFont val="Calibri"/>
        <family val="2"/>
        <scheme val="minor"/>
      </rPr>
      <t>STUDIES</t>
    </r>
    <r>
      <rPr>
        <sz val="11"/>
        <color theme="1"/>
        <rFont val="Calibri"/>
        <family val="2"/>
        <scheme val="minor"/>
      </rPr>
      <t xml:space="preserve"> eligible for our synthesis</t>
    </r>
  </si>
  <si>
    <t>Intervention types</t>
  </si>
  <si>
    <t>Disabled person capacity-focused interventions</t>
  </si>
  <si>
    <t>Environment-focused interventions (eligible)</t>
  </si>
  <si>
    <t>Disabled person participation-focused interventions in eligible interventions</t>
  </si>
  <si>
    <t>Types of study designs for included and eligible studies</t>
  </si>
  <si>
    <t>Types of comparison groups in included (relevant/eligible) studies</t>
  </si>
  <si>
    <t>PRIMARY OUTCOME measures 1: capacity</t>
  </si>
  <si>
    <t>PRIMARY OUTCOME 2: environment</t>
  </si>
  <si>
    <t>PRIMARY OUTCOME 3: participation</t>
  </si>
  <si>
    <t>QoL</t>
  </si>
  <si>
    <t>Other secondary outcomes</t>
  </si>
  <si>
    <t>Clinical/symptom outcome measurement</t>
  </si>
  <si>
    <t>Covidence ID</t>
  </si>
  <si>
    <t>Endnote ID</t>
  </si>
  <si>
    <t>First Author</t>
  </si>
  <si>
    <t>Year</t>
  </si>
  <si>
    <t>Publication title</t>
  </si>
  <si>
    <t>Review type</t>
  </si>
  <si>
    <t>Objective/purpose of review or key questions</t>
  </si>
  <si>
    <t>Notes</t>
  </si>
  <si>
    <t>Databases, Total N</t>
  </si>
  <si>
    <t>List of databases [string]</t>
  </si>
  <si>
    <t>Example keywords/ MeSH terms provided?</t>
  </si>
  <si>
    <t>Actual search strategy provided? [Y/N]</t>
  </si>
  <si>
    <t>Last search date</t>
  </si>
  <si>
    <t>Start year</t>
  </si>
  <si>
    <t>End year</t>
  </si>
  <si>
    <t>Theory/key concept [Y/N]</t>
  </si>
  <si>
    <t>Theory/key concept notes [string]</t>
  </si>
  <si>
    <t>Review inclusion criteria [string]</t>
  </si>
  <si>
    <t>Review exclusion criteria [string]</t>
  </si>
  <si>
    <t>Type of review design structure used (e.g., PICO)</t>
  </si>
  <si>
    <t>Details of PICO (or other) design elements missing or unclear [string]</t>
  </si>
  <si>
    <t>PRISMA flow/screening numbers fully reported in figure or text</t>
  </si>
  <si>
    <t>Reason for excluding FT articles reported in figure or text</t>
  </si>
  <si>
    <t>Total studies included, N</t>
  </si>
  <si>
    <t>Total papers included, N</t>
  </si>
  <si>
    <t>Total studies eligible for our umbrella review, N</t>
  </si>
  <si>
    <t>Selection notes</t>
  </si>
  <si>
    <t>Pooled sample (ppl w disability), N</t>
  </si>
  <si>
    <t>Males, Total N</t>
  </si>
  <si>
    <t>Females, Total N</t>
  </si>
  <si>
    <t>Age min (yrs)</t>
  </si>
  <si>
    <t>Age max (yrs)</t>
  </si>
  <si>
    <t>Age mean (SD) or notes if M(SD) missing</t>
  </si>
  <si>
    <t>Demographic notes</t>
  </si>
  <si>
    <t>ASD [Y/N/IE]</t>
  </si>
  <si>
    <t>Autism diagnosis notes (e.g., high functioning) [string]</t>
  </si>
  <si>
    <t>ID [Y/N/IE]</t>
  </si>
  <si>
    <t>ID notes [string]</t>
  </si>
  <si>
    <t>PD [Y/N/IE]</t>
  </si>
  <si>
    <t>PD/ other MH condition details [string]</t>
  </si>
  <si>
    <t>schizophrenia/ psychosis conditions [Y/N/NR/IE]</t>
  </si>
  <si>
    <t>depression/ Bipolar Disorder [Y/N/NR/IE]</t>
  </si>
  <si>
    <t>anxiety [Y/N/NR/IE]</t>
  </si>
  <si>
    <t>PTSD/trauma [Y/N/NR/IE]</t>
  </si>
  <si>
    <t>Other MH condition [Y/N/NR/IE]</t>
  </si>
  <si>
    <t>Australia [no.]</t>
  </si>
  <si>
    <t>UK/Ireland
[no.]</t>
  </si>
  <si>
    <t>UK countries
[string]</t>
  </si>
  <si>
    <t>Europe [no.]</t>
  </si>
  <si>
    <t>European countries [string]</t>
  </si>
  <si>
    <t>Middle East [no.]</t>
  </si>
  <si>
    <t>Middle East countries [string]</t>
  </si>
  <si>
    <t>North America [no.]</t>
  </si>
  <si>
    <t>North American countries [string]</t>
  </si>
  <si>
    <t>South America [no.]</t>
  </si>
  <si>
    <t>South American countries [string]</t>
  </si>
  <si>
    <t>Pacific/NZ [no.]</t>
  </si>
  <si>
    <t>Pacific/NZ countries [string]</t>
  </si>
  <si>
    <t>Asia [no.]</t>
  </si>
  <si>
    <t>Asian countries [string]</t>
  </si>
  <si>
    <t>Africa [no.]</t>
  </si>
  <si>
    <t>African countries [string]</t>
  </si>
  <si>
    <t>SCC intervention category</t>
  </si>
  <si>
    <r>
      <t xml:space="preserve">Brief description/ list of types of interventions included [string]
</t>
    </r>
    <r>
      <rPr>
        <b/>
        <sz val="11"/>
        <color rgb="FFFF0000"/>
        <rFont val="Calibri"/>
        <family val="2"/>
        <scheme val="minor"/>
      </rPr>
      <t>Note:</t>
    </r>
    <r>
      <rPr>
        <sz val="11"/>
        <color rgb="FFFF0000"/>
        <rFont val="Calibri"/>
        <family val="2"/>
        <scheme val="minor"/>
      </rPr>
      <t xml:space="preserve"> detailed extraction in phase 2</t>
    </r>
  </si>
  <si>
    <t>Psycho-education [Y/N]</t>
  </si>
  <si>
    <t>social skill, communication training incl. communication tools (but not relationship) [Y/N]</t>
  </si>
  <si>
    <t>social roles (unless relationship-skill focused), belonging, loneliness 
*** probably outcomes not intervention ***</t>
  </si>
  <si>
    <t>relationship-focused (intimate, family, friendships) incl relation ship ROLE, but NOT incl general social skills [Y/N]</t>
  </si>
  <si>
    <t>safety-focused (excluding sex-related safety)[Y/N]</t>
  </si>
  <si>
    <t>Clinical (e.g., CBT-based) [Y/N]</t>
  </si>
  <si>
    <t>other [Y/N]</t>
  </si>
  <si>
    <t>other notes [string]</t>
  </si>
  <si>
    <t>Total N categories</t>
  </si>
  <si>
    <t>Stigma/ acceptance/ community attitudes</t>
  </si>
  <si>
    <t>training support workers/others</t>
  </si>
  <si>
    <t>other</t>
  </si>
  <si>
    <t>Companionship/ support network (e.g., befriending/ circle of friends) [Y/N]</t>
  </si>
  <si>
    <t>community group/activity participation in setting with  at least one person without disabilities (e.g., music, art, walking, sport, horticulture) [Y/N]</t>
  </si>
  <si>
    <t>community/clinical group participation in setting with  only people with disabilities (e.g., music, art, walking, sport, horticulture)[Y/N]</t>
  </si>
  <si>
    <t>Peer mentoring/ support component [Y/N]</t>
  </si>
  <si>
    <t>post-secondary education participation [Y/N]</t>
  </si>
  <si>
    <t>transition-focused  [Y/N]</t>
  </si>
  <si>
    <t>Animal-related [Y/N]</t>
  </si>
  <si>
    <t>Systematic reviews eligible</t>
  </si>
  <si>
    <t>Systematic reviews included, N</t>
  </si>
  <si>
    <t>RCTs/quasi-RCTs eligible</t>
  </si>
  <si>
    <t>RCT included, N</t>
  </si>
  <si>
    <t>Non-RCTs (control gp) eligible</t>
  </si>
  <si>
    <t>Non-RCTs (control gp) included, N</t>
  </si>
  <si>
    <t>Non-RCTs (no control gp) eligible</t>
  </si>
  <si>
    <t>Non-RCTs (no control gp) included, N</t>
  </si>
  <si>
    <t>Descriptive/ cross-sectional (no control gp) eligible</t>
  </si>
  <si>
    <t>Descriptive/ cross-sectional  included, N</t>
  </si>
  <si>
    <t>case study designs eligible</t>
  </si>
  <si>
    <t>single case designs included, N</t>
  </si>
  <si>
    <t>Qualitative studies eligible</t>
  </si>
  <si>
    <t>Qualitative studies included, N</t>
  </si>
  <si>
    <t>Mixed/multi/ action research methods studies eligible</t>
  </si>
  <si>
    <t>Mixed/multi method studies included, N</t>
  </si>
  <si>
    <t>Dissertations eligible</t>
  </si>
  <si>
    <t>Dissertations included, N</t>
  </si>
  <si>
    <t>Other designs eligible</t>
  </si>
  <si>
    <t>Other/notes description [string]</t>
  </si>
  <si>
    <t>Comparison group descriptions [string]</t>
  </si>
  <si>
    <t>multiple baseline [Y/N]</t>
  </si>
  <si>
    <t>within group [Y/N]</t>
  </si>
  <si>
    <t>waitlist/ delayed Rx or no treatment [Y/N]</t>
  </si>
  <si>
    <t>treatment as usual [Y/N]</t>
  </si>
  <si>
    <t>active placebo [Y/N]</t>
  </si>
  <si>
    <t>active treatment [Y/N]</t>
  </si>
  <si>
    <t>Capacity outcome? [Y/N]</t>
  </si>
  <si>
    <t>Capacity measurement  (e.g., specific skills/ knowledge/ behaviour)  [string]</t>
  </si>
  <si>
    <t>Meta analysis effects (CI)  [string]</t>
  </si>
  <si>
    <t>Overall capacity outcome effects for &gt;=1 outcome</t>
  </si>
  <si>
    <t>Overall capacity effect notes  [string]</t>
  </si>
  <si>
    <t>Environment outcome?</t>
  </si>
  <si>
    <t>Environment measurement   [string]</t>
  </si>
  <si>
    <t>Overall environment outcome effects for &gt;=1 outcome</t>
  </si>
  <si>
    <t>Overall environment effect notes  [string]</t>
  </si>
  <si>
    <t>Participation outcome  [Y/N]</t>
  </si>
  <si>
    <t>Participation outcome measurement 
(e.g., social networks, loneliness, group/activity participation, convivial encounters, post-secondary participation) [string]</t>
  </si>
  <si>
    <t>Meta analysis effects (CI) [string]</t>
  </si>
  <si>
    <t>Overall participation outcome effects for &gt;=1 outcome</t>
  </si>
  <si>
    <t>Overall participation effect notes [string]</t>
  </si>
  <si>
    <t>Quality of Life</t>
  </si>
  <si>
    <t>QoL method details extracted [string]</t>
  </si>
  <si>
    <t>Overall QoL outcome effects</t>
  </si>
  <si>
    <t>Overall QoL effect notes [string]</t>
  </si>
  <si>
    <t>Other SCC-relevant secondary outcomes (e.g., self-determination, agency) [Y/N]</t>
  </si>
  <si>
    <t>Other secondary outcome method details extracted, notes [string]</t>
  </si>
  <si>
    <t>Overall other SCC-relevant outcome effects</t>
  </si>
  <si>
    <t>Overall other SCC-relevant  effect notes [string]</t>
  </si>
  <si>
    <t>Clinical/symptom outcomes measured? [Y/N]</t>
  </si>
  <si>
    <t>Clinical/symptom outcome measurement [string]</t>
  </si>
  <si>
    <t>Overall clinical/symptom outcomes outcome effects</t>
  </si>
  <si>
    <t>Overall clinical/ symptom outcome effect notes [string]</t>
  </si>
  <si>
    <t>Assessment conducted  [Y/N]</t>
  </si>
  <si>
    <t>Appraisal tool/ methods used [string]</t>
  </si>
  <si>
    <t>Total number of relevant studies with low ROB, high quality or high certainty evidence [numeric]</t>
  </si>
  <si>
    <t>Overall appraisal rating</t>
  </si>
  <si>
    <t>Were sensitivity analyses or funnel plots included?  [Y/N]</t>
  </si>
  <si>
    <t>Did they show biases?  [Y/N]</t>
  </si>
  <si>
    <t>Notes on sensitivity/ publishing biases [string]</t>
  </si>
  <si>
    <t>sample heterogeneous?</t>
  </si>
  <si>
    <t>methods heterogeneous?</t>
  </si>
  <si>
    <t>Funding disclosed?  [Y/N]</t>
  </si>
  <si>
    <t>funder details [string]</t>
  </si>
  <si>
    <t>COI disclosed?  [Y/N]</t>
  </si>
  <si>
    <t>COI details listed [string]</t>
  </si>
  <si>
    <t>Total relevant domains</t>
  </si>
  <si>
    <t>Number of domains satisfied (yes=1, partial=0.5)</t>
  </si>
  <si>
    <t>Percentile of domains satisfied</t>
  </si>
  <si>
    <t>manual</t>
  </si>
  <si>
    <t>Anderson</t>
  </si>
  <si>
    <t>Can mental health interventions change social networks? A systematic review.</t>
  </si>
  <si>
    <t>Systematic Review</t>
  </si>
  <si>
    <t xml:space="preserve">to determine the effectiveness of existing psychosocial interventions, tested through randomised controlled trials (RCTs), where the  primary aim of the intervention was to improve the social networks of patients with psychosis. </t>
  </si>
  <si>
    <t>...</t>
  </si>
  <si>
    <t>PsycINFO, MEDLINE, CINAHL, Embase, Cochrane Library, grey literature, hand search of key journals</t>
  </si>
  <si>
    <t>yes</t>
  </si>
  <si>
    <t>in appendix/ supplementary materials</t>
  </si>
  <si>
    <t>inception</t>
  </si>
  <si>
    <t>No</t>
  </si>
  <si>
    <t>n/a</t>
  </si>
  <si>
    <t>O: primary outcome measure of social network size
I/context: inpatient, outpatient or community mental health
care services; ≥ 50 % participants with psychosis, and at
least 18 years of age. 
C: Treatment as usual, active and waitlist control conditions were all accepted as comparators.
S: written in English.
D: RCTs</t>
  </si>
  <si>
    <t>if only broader reference to social interactions was made, or social network size was a secondary outcome measure. 
Reviews were excluded but their reference lists
were screened.</t>
  </si>
  <si>
    <t>PICO</t>
  </si>
  <si>
    <t>Yes</t>
  </si>
  <si>
    <t>nr</t>
  </si>
  <si>
    <t>no</t>
  </si>
  <si>
    <t>psychosis-related conditions only</t>
  </si>
  <si>
    <t>ItalyX1, NetherlandsX1, SpainX1, Ireland X1</t>
  </si>
  <si>
    <t>IsraelX1</t>
  </si>
  <si>
    <t>participation</t>
  </si>
  <si>
    <t>Interventions whose primary aim is to improve the social networks of patients with psychosis, to determine the effectiveness of existing  psychosocial interventions</t>
  </si>
  <si>
    <t>not eligible</t>
  </si>
  <si>
    <t>eligible, included</t>
  </si>
  <si>
    <t xml:space="preserve">TAU, waitlist, active control (social mentoring, stipend only), IPT without therapy dog </t>
  </si>
  <si>
    <t>not applicable</t>
  </si>
  <si>
    <t>social network size (the Practitioner Assessment of Network Type; Personal Network Questionnaire; count of social contacts in participants social networks)</t>
  </si>
  <si>
    <t>positive effect (&gt;=60% of studies had positive effect)</t>
  </si>
  <si>
    <t>4/5 increased social network size by 45.5% (Italian study), 56% (Dutch study), 2.9% (SCIT Israeli study), 7% (Irish study)</t>
  </si>
  <si>
    <t>The Cochrane Collaboration’s Intervention Review for RCTs</t>
  </si>
  <si>
    <t>1/5</t>
  </si>
  <si>
    <t>high quality/low ROB</t>
  </si>
  <si>
    <t>one study had high/unclear risk on 5/6 domains, but the other studies had low ROB on most domains</t>
  </si>
  <si>
    <t>no: restricted age range (e.g., adults only) and consistent diagnoses across studies and no/minimal comorbidities</t>
  </si>
  <si>
    <t>yes or unclear: multiple intervention types and inconsistent follow-up time-frames and no high quality study designs included (i.e., RCTs)</t>
  </si>
  <si>
    <t>KA was previously funded by East London NHS Foundation Trust, and is a PhD research fellow in the Netherlands at the time of print. SP was funded by Queen Mary University of London, and NL was funded by East London NHS Foundation Trust. The funding bodies were not involved in the study design, collection, analyses and interpretation of the data nor did they decide to submit the manuscript for publication.</t>
  </si>
  <si>
    <t>declared funding, but not COIs</t>
  </si>
  <si>
    <t>Atkinson-Jones</t>
  </si>
  <si>
    <t>Do group interventions help people with autism spectrum disorder to develop better relationships with others? A critical review of the literature</t>
  </si>
  <si>
    <t>systematic review</t>
  </si>
  <si>
    <t>1. Identify group social skills interventions for adults with ASD without  intellectual disability and with a moderate or mild intellectual disability.
2.  Summarise findings of the research.
3. Critically evaluate the methodologies used.
4. Consider clinical and research implications.</t>
  </si>
  <si>
    <t>PsycINFO, MEDLINE, EMBASE and   CINAHL</t>
  </si>
  <si>
    <t>in text only</t>
  </si>
  <si>
    <t>Nov, 2017</t>
  </si>
  <si>
    <t>Importance of social communication  and   interaction  impairments   as  a  barrier to  building relationships in ASD.</t>
  </si>
  <si>
    <t>•Empirical research
•Published in English    peer‐reviewed journals 
•I: group    social    skills    interventions
•P: adults with    ASD    with    mild    intellectual disability, moderate intellectual disability and without intellectual disability.</t>
  </si>
  <si>
    <t>Excluded if they:
•Included participants under 18 (or did not specify age)
•Included participants who did not have an ASD diagnosis
• Did not involve group interventions
• Included interventions where social skills    training was not the main   component</t>
  </si>
  <si>
    <t>not clear</t>
  </si>
  <si>
    <t>comparison eligibility NR, outcome eligibility NR</t>
  </si>
  <si>
    <t>10 studies in PRISMA and in-text summary, 9 in tables (missing data extraction for Gantman 2012)</t>
  </si>
  <si>
    <t>All had Aspergers, ASD, HF-ASD, or PDD-NOS [ASD + no ID: 8 studies; ASD w IQ ranging from 58-108: 2 studies]</t>
  </si>
  <si>
    <t>2 studies incl ppl w IQ&lt;70</t>
  </si>
  <si>
    <t>UK</t>
  </si>
  <si>
    <t>USA</t>
  </si>
  <si>
    <t>China</t>
  </si>
  <si>
    <t>capacity</t>
  </si>
  <si>
    <t>PEERS-YA X 4
Social skills group X 1
Social skills programme X1
Aspirations program X 2
SCIT X 1
Workplace Training Programme X 1</t>
  </si>
  <si>
    <t>eligible, not included</t>
  </si>
  <si>
    <t>eligibility unclear</t>
  </si>
  <si>
    <t>RCTs: 1 active control (control Rx not described), 3 delayed Rx
non-RCTs: 1 TAU</t>
  </si>
  <si>
    <t>unclear</t>
  </si>
  <si>
    <t>Theory of mind (RME, RMV, HT)
Empathy (EQ)
Emotion recognition (FEIT)
Emotion control (OEI-R)
Social skills (CASS, SCSQ, SIB-R, SRS, SSPA, SSRS)
Social skill knowledge (TYASSK)
Work skills (WPP)</t>
  </si>
  <si>
    <t>28% also had null effect for &gt;=1 outcome</t>
  </si>
  <si>
    <t>Peer relationships (IPR)
Social functioning (WFIRS)
Frequency of social engagement (QSQ)
Loneliness (SELSA)</t>
  </si>
  <si>
    <t>50% also had null effect for &gt;=1 outcome</t>
  </si>
  <si>
    <t>Autism symptoms (AQ, GADS)
Depression (BDI-II)
Anxiety (STAI)</t>
  </si>
  <si>
    <t>not extracted</t>
  </si>
  <si>
    <t>not reported</t>
  </si>
  <si>
    <t>yes or unclear: broad age range and multiple diagnoses and disability severity and participants in studies had comorbidities</t>
  </si>
  <si>
    <t>none online or in paper</t>
  </si>
  <si>
    <t>Bigby</t>
  </si>
  <si>
    <t>Identifying conceptualizations and theories of change embedded in interventions to facilitate community participation for people with intellectual disability: A scoping review</t>
  </si>
  <si>
    <t>scoping review</t>
  </si>
  <si>
    <r>
      <t xml:space="preserve">three key questions: (i) “How do interventions designed to facilitate community participation for people with intellectual disability conceptualize their aims and community participation?” (ii) “What theory of change and facilitation strategies do interventions have?” and (iii) </t>
    </r>
    <r>
      <rPr>
        <sz val="11"/>
        <color rgb="FF0070C0"/>
        <rFont val="Calibri"/>
        <family val="2"/>
        <scheme val="minor"/>
      </rPr>
      <t>“How effective are interventions in achieving anticipated outcomes?”</t>
    </r>
  </si>
  <si>
    <t xml:space="preserve">CINAHL, PsycINFO, MEDLINE and PubMed; </t>
  </si>
  <si>
    <t>World Health Organization’s (2001) International Classification of Functioning (ICF) framework
Verdonschot et al.’s (2009) definition of community participation: “the performance of people in actual activities in social life domains through interaction with others in the context in which they live” (p. 304)
Dusseljee et al. (2011) define community participation as “performing daytime activities while interacting with others” (p. 4). 
Distinction between encounters and participation</t>
  </si>
  <si>
    <t>•report of empirical research about the nature and effectiveness of a specific intervention (programme or practice) to facilitate community participation
•the intervention aimed to facilitate community participation in line with Verdonschot et al.’s (2009) broad definition
•The intervention was in respect of adults with intellectual disabilities
•Written in English language
•published in a peer-reviewed journal between 2000 and 2015.</t>
  </si>
  <si>
    <t>None</t>
  </si>
  <si>
    <t>comparison eligibility NR,</t>
  </si>
  <si>
    <t>described in methods, p167-8</t>
  </si>
  <si>
    <t>Two papers on one study for a dating program; four papers on one study in older people approaching transition to retirement</t>
  </si>
  <si>
    <t>ID severity nr (11 studies)
ID sev moderate (1 study)
ID sev mild (1 study)</t>
  </si>
  <si>
    <t>Serbia, Poland, Ukraine,
Germany and Hungary X 1 study</t>
  </si>
  <si>
    <t>interventions/programs for community participation (community groups, sports groups), belonging, convivial encounters, and leisure activities (art, physical activity) as catalyst for interaction with other artists and public</t>
  </si>
  <si>
    <t xml:space="preserve">Most studies had no comparison
Process evaluation (1 study)
Longitudinal case/qual (1 study) </t>
  </si>
  <si>
    <t>self-esteem</t>
  </si>
  <si>
    <t>qual findings</t>
  </si>
  <si>
    <t>Acceptance and willingness of group members to accept ppl w ID in Men's Shed
Experiencing public approbation for their artwork</t>
  </si>
  <si>
    <t>Social Network Size
Participation in leisure activity with friend
Convivial encounters in the activity setting and with community members
Working together towards common goals
Number of new inclusive social contacts
Participating in mainstream community activities
formed friendships/inclusive bonds with others w disability
feeling part of society
expanded individual social networks
Blogging activity/exercise increased sense of social capital, but not blogging per se</t>
  </si>
  <si>
    <t>Mostly qual studies</t>
  </si>
  <si>
    <t>HR-QoL</t>
  </si>
  <si>
    <t>null effect (&gt;=60% of studies had null effect)</t>
  </si>
  <si>
    <t>one mixed methods study</t>
  </si>
  <si>
    <t>physical activity/sporting skills/fitness</t>
  </si>
  <si>
    <t>one qual study</t>
  </si>
  <si>
    <t>happiness and confidence
self esteem</t>
  </si>
  <si>
    <t>qual studies</t>
  </si>
  <si>
    <t>informal notes on study weaknesses</t>
  </si>
  <si>
    <t>low quality/high ROB</t>
  </si>
  <si>
    <t>Most studies very small samples, some with weak qual methods, lack of prospective data and not control groups</t>
  </si>
  <si>
    <t>Research and Data Working representing the collective interests of each Australian State and Territory government to build evidence based on issues facing people with a disability</t>
  </si>
  <si>
    <t>Social inclusion and people with intellectual disability and challenging behaviour: A systematic review</t>
  </si>
  <si>
    <t>Aim: to systematically review the empirical literature on the social inclusion of people with intellectual disability and challenging behaviour. Two broad questions: (1) how has social inclusion by people with intellectual disability and challenging behaviour been researched and operationalised in the empirical literature, and (2) what is the evidence about the extent of social inclusion by people with intellectual disability and challenging behaviour?</t>
  </si>
  <si>
    <t>APAIS-Health, CINAHL, Cochrane Library, ERIC, Expanded Academic Index, MEDLINE, ProQuest Social Science and Humanities, PsychInfo, Social Services Abstracts, and Sociological Abstracts</t>
  </si>
  <si>
    <t>not provided</t>
  </si>
  <si>
    <t>mid 2010</t>
  </si>
  <si>
    <t xml:space="preserve">centrality of social inclusion in disability policy for UNCRPD. Distinction b/n community presence and community participation </t>
  </si>
  <si>
    <t>D: reports of descriptive, qualitative or quantitative findings from empirical research
P: people w ID and challenging behaviour
I/O: commonly used components of social inclusion such as community activities, community participation, social interaction with family and friends, employment, community presence, or use of community facilities
No C defined</t>
  </si>
  <si>
    <t>none</t>
  </si>
  <si>
    <t>No C defined</t>
  </si>
  <si>
    <t>3 studies did not report age, 2 did not report gender/sex</t>
  </si>
  <si>
    <t>33/69 participants had moderate to profound ID, and severity not reported for 31 participants. Most had  challenging behaviours</t>
  </si>
  <si>
    <t>most interventions focused on positive behavioural support, intensitive intervention, personal care planning. One study examined effects of community visiting on activity participation</t>
  </si>
  <si>
    <t>only two had controls that were  within group comparisons</t>
  </si>
  <si>
    <t>social relationships (video observation); community activity participation description; time spent in community; opportunities for social participation; ICI; communicative acts; interaction levels in public settings</t>
  </si>
  <si>
    <t>Lowe 1996 showed no diff in ICI.
Sim ply going on community visits does not necessarily lead to high levels of interaction (Saxby)</t>
  </si>
  <si>
    <t>QoL Questionnaire (Schalock 1989)</t>
  </si>
  <si>
    <t>effects not reported</t>
  </si>
  <si>
    <t>challenging behaviours</t>
  </si>
  <si>
    <t>All studies for which CB frequency were reported in the SR showed a reduction</t>
  </si>
  <si>
    <t>Offi ce of the  Senior Practitioner in Victoria, Australia</t>
  </si>
  <si>
    <t>none to declare</t>
  </si>
  <si>
    <t>Bondár</t>
  </si>
  <si>
    <t>The effects of physical activity or sport‐based interventions on psychological factors in adults with intellectual disabilities: a systematic review</t>
  </si>
  <si>
    <r>
      <t xml:space="preserve">The aims of the current review are (a) to </t>
    </r>
    <r>
      <rPr>
        <sz val="11"/>
        <color rgb="FF0070C0"/>
        <rFont val="Calibri"/>
        <family val="2"/>
        <scheme val="minor"/>
      </rPr>
      <t>obtain a better understanding of the effects of PA⁄sportbased interventions on intention, motivation and attitude in adults with id</t>
    </r>
    <r>
      <rPr>
        <sz val="11"/>
        <color theme="1"/>
        <rFont val="Calibri"/>
        <family val="2"/>
        <scheme val="minor"/>
      </rPr>
      <t xml:space="preserve"> and (b) to investigate the influence of these psychological factors on behavioural change and QoL.</t>
    </r>
  </si>
  <si>
    <t>SCOPUS, Web of Science (all databases: KCI –Korean Journal Database, MEDLINE, Russian Science Citation Index, SciELO Citation Index), PubMed and Cochrane Library.</t>
  </si>
  <si>
    <r>
      <rPr>
        <sz val="11"/>
        <color rgb="FF0070C0"/>
        <rFont val="Calibri"/>
        <family val="2"/>
        <scheme val="minor"/>
      </rPr>
      <t>Physical Activity for people with a Disability (PAD) model</t>
    </r>
    <r>
      <rPr>
        <sz val="11"/>
        <color theme="1"/>
        <rFont val="Calibri"/>
        <family val="2"/>
        <scheme val="minor"/>
      </rPr>
      <t xml:space="preserve"> (Van Der Ploeg et al. 2004) based on the </t>
    </r>
    <r>
      <rPr>
        <sz val="11"/>
        <color rgb="FF0070C0"/>
        <rFont val="Calibri"/>
        <family val="2"/>
        <scheme val="minor"/>
      </rPr>
      <t>International Classification of Functioning, Disability and Health</t>
    </r>
    <r>
      <rPr>
        <sz val="11"/>
        <color theme="1"/>
        <rFont val="Calibri"/>
        <family val="2"/>
        <scheme val="minor"/>
      </rPr>
      <t xml:space="preserve"> and on the most frequently used theories concerning PA behaviour (e.g. </t>
    </r>
    <r>
      <rPr>
        <sz val="11"/>
        <color rgb="FF0070C0"/>
        <rFont val="Calibri"/>
        <family val="2"/>
        <scheme val="minor"/>
      </rPr>
      <t>transtheoretical model; social influence and self-efficacy model</t>
    </r>
    <r>
      <rPr>
        <sz val="11"/>
        <color theme="1"/>
        <rFont val="Calibri"/>
        <family val="2"/>
        <scheme val="minor"/>
      </rPr>
      <t>).</t>
    </r>
  </si>
  <si>
    <t>Published in a peer-reviewed journal
English
O: change in intention, motivation, attitude, psychosocial outcomes or QoL 
I: PA/sportbased interventions 
P: non-athlete adults aged between 18 and 60 years with a diagnosed ID. 
C: pre–post, quasi-experimental and experimental design (i.e. implementation of PA/sport-based intervention in at least one participantor one group of participants)</t>
  </si>
  <si>
    <t>excluded older ppl - justified</t>
  </si>
  <si>
    <t>not explicitly cited, but eligiblity criteria for each PICO domain detailed</t>
  </si>
  <si>
    <t>4 studies did not measure SCC outcomes, or occur in social/group environment</t>
  </si>
  <si>
    <t>min Q1=17; max Q3: 56</t>
  </si>
  <si>
    <t>sex not reported for most studies</t>
  </si>
  <si>
    <t>mild ID (2 studies), mild-mod (2 studies), incl sev (3 studies), nr (1 study)</t>
  </si>
  <si>
    <t>capacity and participation</t>
  </si>
  <si>
    <t>physical activity or sport-based interventions</t>
  </si>
  <si>
    <t>2 studies included social skills training as well (Tomporowski, 1984 &amp; 1985)</t>
  </si>
  <si>
    <t>community integration; social/environment supports for exercise; qual experience; social support scale for persons w ID; Adaptive Behaviour Scale, incl personal social responsibility and community self-sufficiency subscales; perceived enjoyment/social benefits.</t>
  </si>
  <si>
    <t>6 studies reported positive participation effects; one also reported barriers to engaging ppl w ID; 2 reported no positive effects</t>
  </si>
  <si>
    <t>EQ-5D VAS, WHOQAL-Disability module</t>
  </si>
  <si>
    <t>inconsistent effect (no effect direction to meet &gt;=60% threshold)</t>
  </si>
  <si>
    <t>two studies measured QoL, one had significant improvement, the other had no significant improvement</t>
  </si>
  <si>
    <t>Cochrane Collaboration Risk of Bias tool (Higgins, 2011)</t>
  </si>
  <si>
    <t>5/8</t>
  </si>
  <si>
    <t>Erasmus Plus Sport Programme</t>
  </si>
  <si>
    <t>Bourne</t>
  </si>
  <si>
    <t>A systematic review to investigate dramatherapy group work with working age adults who have a mental health problem</t>
  </si>
  <si>
    <t>SR with meta-qual/ethnography</t>
  </si>
  <si>
    <r>
      <t xml:space="preserve">To identify the themes that emerge between the systematically collated studies so as to comprehend the </t>
    </r>
    <r>
      <rPr>
        <sz val="11"/>
        <color rgb="FF0070C0"/>
        <rFont val="Calibri"/>
        <family val="2"/>
        <scheme val="minor"/>
      </rPr>
      <t>group processes in dramatherapy, the benefits of this form of therapy as
well as any challenges identified from the research</t>
    </r>
    <r>
      <rPr>
        <sz val="11"/>
        <color theme="1"/>
        <rFont val="Calibri"/>
        <family val="2"/>
        <scheme val="minor"/>
      </rPr>
      <t>.</t>
    </r>
  </si>
  <si>
    <t>CINAHL (Ebsco), EMBASE (Ovid), MEDLINE (Ovid), PsycINFO
(Ovid), Cochrane, Open Grey</t>
  </si>
  <si>
    <t>Mar, 2017</t>
  </si>
  <si>
    <t>• P: age &gt;18 and &lt;65
• P/I: adults w MH problems attending dramatherapy group
• I: led by dramatherapist
• O: generic measure of MH, maintenance or change
• D: qual, quant and mixed methods as long as they followed component of change  
• qual and mixed methods with more than one participant</t>
  </si>
  <si>
    <t xml:space="preserve">• I: drama-based education
• I: dramatherapy combined groups (e.g., including CBT)
• studies "fatally flawed" based on CASP assessment </t>
  </si>
  <si>
    <t>learning disability &amp; MH (3 studies)</t>
  </si>
  <si>
    <t>BPD (1 study), schizophrenia (2 studies), PTSD (1 study), heterogeneous (5 studies)</t>
  </si>
  <si>
    <t>UK X 8</t>
  </si>
  <si>
    <t>Romania X 1</t>
  </si>
  <si>
    <t>Israel</t>
  </si>
  <si>
    <t>dramatherapy group work</t>
  </si>
  <si>
    <t>social competence questionnaire (1 study)</t>
  </si>
  <si>
    <t>difficult to ascertain from results reported</t>
  </si>
  <si>
    <t>Alcohol and drug use scale, self-esteem, CORE LD, BILD</t>
  </si>
  <si>
    <t>vague description of effects</t>
  </si>
  <si>
    <t>CASP</t>
  </si>
  <si>
    <t>CAPS appears to only have been used for study selection, and is not reported in the paper</t>
  </si>
  <si>
    <t>Bundock</t>
  </si>
  <si>
    <t>A review of social skills interventions for adults with autism and intellectual disability</t>
  </si>
  <si>
    <t>To: identify empirical social skills interventions for adults with autism and ID (of all levels); summarise findings of the research; critically evaluate the methodologies used; discuss challenges of conducting such research; and consider practice, research and policy implications.</t>
  </si>
  <si>
    <t>Psych Info, Embase, Medline, Amed, BNI, CINAHL, Health Business Elite and HMIC</t>
  </si>
  <si>
    <t>Nov, 2015</t>
  </si>
  <si>
    <t>•adults with an ID (aged 17 years and over to include those transitioning between child and
adult services);• participants with ASD (at least one participant had a diagnosis of ASD);• using an intervention to improve social skills (targeting positive and/or negative social behaviours); and • published in a peer reviewed journal and in English</t>
  </si>
  <si>
    <t>P, I and O defined, C not specified</t>
  </si>
  <si>
    <t>~53</t>
  </si>
  <si>
    <t>18.3 (1.25) to 39.7 (13.4)</t>
  </si>
  <si>
    <t>sex missing for 6 participants</t>
  </si>
  <si>
    <t>ASD diagnosis (1 study, Samuels)</t>
  </si>
  <si>
    <t>mild-mod ID (1 study, Liu), mod-seve ID (1 study, Gaylor-Ross), sev ID + 1 participant w ASD (1 study, Nind), ID and PDD (1 study, Carminati)</t>
  </si>
  <si>
    <t>N/A</t>
  </si>
  <si>
    <t>NR</t>
  </si>
  <si>
    <t>social skills interventions</t>
  </si>
  <si>
    <t>no control groups</t>
  </si>
  <si>
    <t>direct observation of behaviours for percentage of correct steps performed/learned (3 studies); 
WPP, SIB-R, OEI-R (1 study); abberant behaviour checklist (ABC), childhood autism rating scale (CARS)</t>
  </si>
  <si>
    <t>one multiple baseline study showed no maintenance for multiple behrs beyond intervention; one cohort in Carminati had no improvement in behaviour or symptoms</t>
  </si>
  <si>
    <t>Checklist/notes based on Downs and Black's (1998) checklist: context, design, outcome measures/data analysis, participants, ethical considerations, generalisation</t>
  </si>
  <si>
    <t>all studies had one or more limitation: none included control groups, only two used standardised outcome measures, only one study detailed their recruitment/consent procedures in detail</t>
  </si>
  <si>
    <t>Coren</t>
  </si>
  <si>
    <t>Parenting training for intellectually disabled parents: A Cochrane systematic review</t>
  </si>
  <si>
    <t>Cochrane Review</t>
  </si>
  <si>
    <t>To assess the effectiveness of parent training interventions for parents with intellectual disabilities to support parenting.</t>
  </si>
  <si>
    <t>several details obtained from the Cochrane report as they weren't in the paper (e.g., search dates, search terms)</t>
  </si>
  <si>
    <t>Cochrane Central Register of Controlled  Trials  (CENTRAL),  MEDLINE,  EMBASE,CINAHL, PsycINFO, ASSIA, Sociological Abstracts, Disser-tation Abstracts International, MetaRegister of ControlledTrials and ZETOC.</t>
  </si>
  <si>
    <t>apr, 2019</t>
  </si>
  <si>
    <t>• D: only RCTs and quasi-randomized studies; • C: compared parent training with usual care or with a controlgroup; •P participant group was parents or primarycaregivers with independent or shared care of one or more chil-dren aged 0 to 18 years, where the parent or caregiver has anintellectual disability; • I: Interventions were included that consisted of parent traininginterventions with any theoretical background and weredesigned to improve parenting skills and knowledge; • O: parenting skills, safe home practices, understanding of child health, parent-child interactions</t>
  </si>
  <si>
    <t>24 to 32 (no sd reported)</t>
  </si>
  <si>
    <t>sample size includes completers for Llewellyn</t>
  </si>
  <si>
    <t>"mentally retarded" (1 study), ID diagnosis or history of special education due to ID (1 study), IQ&lt;85 (1 study)</t>
  </si>
  <si>
    <t>USA, Canada</t>
  </si>
  <si>
    <t>parent training for parents with ID</t>
  </si>
  <si>
    <t>1 waitlist, 1 TAU, 1 telephone support</t>
  </si>
  <si>
    <t>Daily child care routines in the home (diapering, feeding, bathing, sleep, safety, cleaning bottles, toilet training, and other skills); Mother’s sensitivity to the child’s cues, responsiveness to distress, socioemotional and cognitive growth  fostering etc. (Nursing Child Assessment Scale; NCATS); UCLA Parent-Child Health and Wellness project outcomes (Health comprehension; Illness and symptom recognition; life  threatening emergencies; going to the doctor; using medicines safely; home illustrations etc)</t>
  </si>
  <si>
    <t>one study showed no improvements on 5/8 domains of the UCLA Parent child health and wellness project measure</t>
  </si>
  <si>
    <t>Cochrane Collaboration Risk of Bias tool (Higgins, 2008)</t>
  </si>
  <si>
    <t>all studies had 2-3/6 domains with ROB and 1-4 domains with unknown ROB</t>
  </si>
  <si>
    <t>The Cochrane systematic review was commissioned and funded by IMS (Institute for Evidence Based Social Work Practice), Sweden and received institutional support from Canterbury Christ Church University,  Canterbury</t>
  </si>
  <si>
    <t>Parent training support for intellectually disabled parents</t>
  </si>
  <si>
    <t>Did not extract as all studies included in other Coren review</t>
  </si>
  <si>
    <t>Parent training interventions for parents with intellectual disability</t>
  </si>
  <si>
    <t>Did not extract as all studies included in other Coren review, and no new interventions identified</t>
  </si>
  <si>
    <t>Crowe</t>
  </si>
  <si>
    <t>Disorder-specific psychosocial interventions for bipolar disorder-A systematic review of the evidence for mental health nursing practice</t>
  </si>
  <si>
    <t>For people with bipolar disorder are disorder-specific psychosocial interventions as an adjunct to medication more effective than usual care in improving symptoms, relapse and functioning?</t>
  </si>
  <si>
    <t>just extract information on "Interpersonal and social rhythm therapy"</t>
  </si>
  <si>
    <t>CINAHL, MEDLINE, Psy_x0002_cINFO and manual searching</t>
  </si>
  <si>
    <t>P: Participants 18 years + (and presumably had BPD?!).
I: Psychosocial interventions specific to bipolar disorder.  Interventions were adjunctive to pharmacotherapy.
C: not defined
O: patient outcomes using any measurement instrument.
D: Experimental design.
S: Published between 1990 and 2009.</t>
  </si>
  <si>
    <t>no comparison defined, and didn't actually state that the population had to have BPD, just that the interventions were specific to BPD</t>
  </si>
  <si>
    <t>only included 2 Interpersonal and social rhythm therapy studies reported in three papers</t>
  </si>
  <si>
    <t>Bipolar Disorder: affective disorder/episode, acutely unwell.</t>
  </si>
  <si>
    <t>USAX2</t>
  </si>
  <si>
    <t>psychosocial interventions for bipolar disorder: Interpersonal and social rhythm therapy (IPSRT) combines the techniques of interpersonal psychotherapy with the use of a social rhythm matrix to promote lifestyle regularity. The treatment focuses on the links between mood symptoms and quality of social relationships and social roles, the importance of maintaining daily routines and the identification and management of potential precipitants of rhythm disruption.</t>
  </si>
  <si>
    <t>active clinical management and cross-over</t>
  </si>
  <si>
    <t>stability in daily routines and occupational functioning</t>
  </si>
  <si>
    <t>greater improvement in occupational functioning with IPSRT rather than intense clinical management in acute phase</t>
  </si>
  <si>
    <t>time to relapse</t>
  </si>
  <si>
    <t>RT in acute phase had greater time to affective episode relapse</t>
  </si>
  <si>
    <t>adapted from previously published systematic reviews (Bee et al., 2008; Curran and Brooker, 2007)</t>
  </si>
  <si>
    <t>not actually reported!</t>
  </si>
  <si>
    <t>no: restricted intervention types/targets and consistent follow up time-frames and consistent and/or high quality study designs included (i.e., RCTs)</t>
  </si>
  <si>
    <t>Exell</t>
  </si>
  <si>
    <t>Interventions that support adults with brain injuries, learning disabilities and autistic spectrum disorders in dating or romantic relationships: a systematic review</t>
  </si>
  <si>
    <t>What interventions have been developed to support adults with ABI, learning disabilities, ASD to learn skills for engaging in dating or intimate relationships?  What theoretical principles have been used to develop these interventions? What is the evidence for the effectiveness of these interventions?</t>
  </si>
  <si>
    <t>Outcomes/effects not described in results for Chandler case study and Mueser, Velenti-Hein and Yarnold [52] trial</t>
  </si>
  <si>
    <t>CINAHL, Communication Source, PsycARTICLES, PsycINFO, SocINDEX, MEDLINE, Embase, AMED and EMB Reviews (all).</t>
  </si>
  <si>
    <t xml:space="preserve"> 01/05/2020</t>
  </si>
  <si>
    <t>no driving theory for review, but did identify theory in primary studies</t>
  </si>
  <si>
    <t xml:space="preserve"> Studies (1) I: testing an
intervention to support dating or intimate relationships; (2) published in a peer reviewed journal; (3) in English, with the full text available; (4) P: participants were 18 years or older; (5) P: participants were diagnosed with either ABI, learning disability, developmental disability, intellectual disability, neurodevelopmental disability, mental retardation, ASD or Asperger’s Syndrome. Due to lack of intervention studies, all study types
were considered.</t>
  </si>
  <si>
    <t>P, I defined
Registered with PROSPERO
(CRD42019120222).</t>
  </si>
  <si>
    <t>Don't include the 6 studies (7 papers) in ABI samples</t>
  </si>
  <si>
    <t>Gender of one participant missing</t>
  </si>
  <si>
    <t>ASD (1 study)</t>
  </si>
  <si>
    <t>LD/IDD severity not defined (2 studies), borderline-moderate intellectual functioning (1 study), mild-moderate mental retardation (1 study)</t>
  </si>
  <si>
    <t>UK X1</t>
  </si>
  <si>
    <t>USA X 4</t>
  </si>
  <si>
    <t>interventions for dating/romantic relationships</t>
  </si>
  <si>
    <t>control groups not clearly described
ASD study:  comparison group was given the original "Ready for Love" intervention with additional teaching on flirting, identifying romantic interest and asking a person on a date.</t>
  </si>
  <si>
    <t>Stacking the deck, social avoidacnce and distress scale,  frequency of opposite-sex interactions and social competence and attractiveness within role plays. (Velenti-Hein)
social network measure, interpersonal violence inventory (Ward X 2)
SRS-2, AQ, DAQ (Cunningham, ASD)</t>
  </si>
  <si>
    <t>LD studies: improvement in role plays, social network, but not SAD.
ASD study: no difference b/n groups so R4L intervention w/wout additional teaching improves SRS but not AQ and SPS.
Note: Chandler &amp; Mueser data not extracted due to high ROB</t>
  </si>
  <si>
    <t>Social Network Size</t>
  </si>
  <si>
    <t>Only measured in 1/4 LD studies</t>
  </si>
  <si>
    <t xml:space="preserve">3 tools:  Template for Intervention Description and
Replication (TIDieR) checklist; Physiotherapy Evidence Database (PEDro) scale;  Risk
of Bias in N-of-1 Trials (RoBiN-T) scale; </t>
  </si>
  <si>
    <t>The case study was excluded from data synthesis as it was an A-B study design, which could not
be rated by the RoBiN-T scale due to high risk of bias</t>
  </si>
  <si>
    <t>Feng</t>
  </si>
  <si>
    <t>Morita therapy for schizophrenia: An updated meta-analysis</t>
  </si>
  <si>
    <t>SR with meta-analysis</t>
  </si>
  <si>
    <t>an updated meta-analysis to observe the clinical efficacy of Morita therapy for patients with schizophrenia since the previous review in 2007</t>
  </si>
  <si>
    <t>Cochrane Library, PubMed, UpToDate, Web of Science, MEDLINE, PsycINFO, Embase, Chinese National Knowledge Infrastructure (CNKI), Wanfang, and SinoMed (CBM) databases</t>
  </si>
  <si>
    <t>P: The target population consisted of adults (18 years or older) diagnosed with schizophrenia as per ICD10 or DSM-IV or Chinese Classification of Mental Disorders, Second Edition, Revised (CCMD-2R) and the Chinese Classification and Diagnostic Criteria of Mental Disorders, Third Edition (CCMD-3)
I: Morita therapy plus pharmacotherapy (chlorpromazine, olanzapine, risperidone, venlafaxine, quetiapine, fluoxetine, aripiprazole, paroxetine hydrochloride) and Morita therapy plus standard care (rehabilitation care and routine nursing care). Morita therapy could be modified Morita therapy or original Morita therapy, and the intervention duration was unlimited.
C: control groups in the literature comprised patients receiving pharmacotherapy, patients receiving standard care or patients on a wait-list to receive Morita
therapy
O: mental state, social functioning and behaviour.
S: designs were RCT only.
only the most recently published article was included if multiple articles from the same study were available.</t>
  </si>
  <si>
    <t xml:space="preserve"> epidemiologic (crosssectional, cohort or case-control) studies, case studies, case series and qualitative studies were excluded.</t>
  </si>
  <si>
    <t>check meta-summary score?</t>
  </si>
  <si>
    <t>sex not reported in one study of 80 participants</t>
  </si>
  <si>
    <t>Schizophrenia</t>
  </si>
  <si>
    <t>Morita therapy - a Japanese psychotherapy. The therapeutic principle of Morita therapy is ‘let it be as it should be’, and this therapy is applicable for people aged 15−40. Morita therapy aims to let patients reach a state of mind in which they can carry on with their work and study even while they exhibit some mental problems (Kurokawa, 2006) and consists of four phases: the bed phase, the light work phase, the heavy work phase and the social rehabilitation phase</t>
  </si>
  <si>
    <t>9 vs pharmacotherapy only, 2 versus standard care</t>
  </si>
  <si>
    <t>social functioning (IPROS, SDSS, ADL)</t>
  </si>
  <si>
    <t>-1.61 [-2.30, -0.92] favouring intervention group; Tau2=1.04, Chi2=170.96, df=8 (P&lt;0.00001); I2 95%</t>
  </si>
  <si>
    <t>two studies not included in meta-analysis (only 1 explained)</t>
  </si>
  <si>
    <t>mental state</t>
  </si>
  <si>
    <t>-1.09 [-1.35, -0.83], Significant heterogeneity (I
2 = 97%, p &lt; 0.05)</t>
  </si>
  <si>
    <t>included studies that did not measure social functioning outcomes</t>
  </si>
  <si>
    <t xml:space="preserve"> Cochrane Collaboration
Handbook (Higgins and Green 2005); GRADE</t>
  </si>
  <si>
    <t>one study had 3/7 domains U/H ROB, two had 4/7 U/H ROB, 4 had 5/7 U/H ROB, 3 had 6/7 U/H ROB, 1 had 7/7 U/H ROB.</t>
  </si>
  <si>
    <t>no results changed in the sub-group and sensitivity analyses</t>
  </si>
  <si>
    <t xml:space="preserve"> 11th China Postdoctoral Science Fund special funding [2018T110235]; The National key R&amp;D plan subtask [2018FYC1706603-05].</t>
  </si>
  <si>
    <t>Fernandez-Sotos</t>
  </si>
  <si>
    <t>Virtual reality for psychosocial remediation in schizophrenia: A systematic review</t>
  </si>
  <si>
    <t>The aim of the present study is to conduct a systematic review of the interventions based on VR for psychosocial remediation in schizophrenia.</t>
  </si>
  <si>
    <t>PubMed (American Psychological Association), Scopus (Elsevier), PsycINFO (American Psychological Association), IEEE Xplore (Institute of Electrical and Electronics Engineers) and ACM Digital Library (Association for Computing Machinery)</t>
  </si>
  <si>
    <t>I: based on VR
O: the main purpose was the improvement of social cognition or social skills
P: they included patients diagnosed with schizophrenia, according to DSM-IV-TR29, DSM-530 and ICD-1031 criteria
D: written in English</t>
  </si>
  <si>
    <t>Grey literature, unpublished dissertations, conference proceedings and abstracts without full texts available were excluded, systematic reviews, survey publications etc..</t>
  </si>
  <si>
    <t>no C defined</t>
  </si>
  <si>
    <t>Smith 2015 only measured job interview skills and employment outcomes, no Ax of general social skills</t>
  </si>
  <si>
    <t>SR did not report sex or age</t>
  </si>
  <si>
    <t>one study included n=26 with ASD)</t>
  </si>
  <si>
    <t>6 studies w/ schizophrenia, one included an additional group w/ PTSD</t>
  </si>
  <si>
    <t>VR-based interventions for psychosocial remediation in schizophrenia. All focused on social skills training, or vocational interview skills training</t>
  </si>
  <si>
    <t>one waitlist, one "SST-TR" but didn't say what TR was</t>
  </si>
  <si>
    <t>SBS, RAS, RCS, SPSI-R, AI, SSIT, BLERT, TREF, MASC-VF, TOM-15, RMET, AIHQ, PerSo, EQ, QCAE, blinded assessors rating behaviours (5 studies)</t>
  </si>
  <si>
    <t>data not reported for each outcome measure</t>
  </si>
  <si>
    <t>SFS (3 studies)</t>
  </si>
  <si>
    <t>the SR did not report the outcomes for the SFS :(</t>
  </si>
  <si>
    <t>PANSS, SADS, AI, SSIT</t>
  </si>
  <si>
    <t>Spanish Ministerio
de Ciencia, Innovación y Universidades, Agencia Estatal
de Investigación (AEI)/European Regional Development
Fund (FEDER, UE) under RECOVER (PID2019-106084RBI00) EmoBioFeedback (DPI2016-80894-R) and HA-SYMBIOSIS
(TIN2015-72931-EXP) grants, by the Instituto de Salud
Carlos III (grant PI16/00359; Fondo de Investigaciones Sanitarias/FEDER), by the European Development Regional
Fund’’ A way to achieve Europe’’ (ERDF), by Madrid Regional
Government (R&amp;D activities in Biomedicine S2017/BMD-3740
(AGES-CM 2-CM)) and Structural Funds of the European
Union</t>
  </si>
  <si>
    <t>Dr. R. Rodriguez-Jimenez has been a consultant for, spoken in activities of, or received grants from: Instituto de Salud Carlos III, Fondo de Investigación Sanitaria (FIS), Centro de Investigación  Biomédica en Red de Salud Mental (CIBERSAM), Madrid Regional Government (S2010/ BMD2422 AGES), Janssen-Cilag, Lundbeck, Otsuka, Pfizer, Ferrer, Juste, Exeltis. The other authors declare that the research was conducted in the absence of any commercial or financial relationships that could be construed as a potential conflict of interest.</t>
  </si>
  <si>
    <t>Finkel</t>
  </si>
  <si>
    <t>The Open Studio Approach to Art Therapy: A Systematic Scoping Review</t>
  </si>
  <si>
    <t>Scoping review</t>
  </si>
  <si>
    <t>To map out and examine thescope of the open studio approach to art therapy as reflected inprofessional, clinical and research literature.</t>
  </si>
  <si>
    <t>includes other populations in general synthesis, but possible to extract PD-specific study findings from Table 1</t>
  </si>
  <si>
    <t>PUBMED; PsycINFO; Scopus;Cochrane; Cinahl; Eric; ProQuest Dissertations; World Cat; ULI;and Web of Science</t>
  </si>
  <si>
    <t>31/05/2019</t>
  </si>
  <si>
    <t>Post-modern approaches to mentalhealth, such as the recovery approach (Anthony, 1993) and thewell-being theory (Seligman, 2011), which discard the medicalapproach and emphasize health and well-being.</t>
  </si>
  <si>
    <t>P: wide range (different age groups, normative as well as clinical populations, and populations from different cultures).
Context: wide range of settings
Concept: open studio approach to art therapy, including studio approach even though they referenced models that did not define themselves as art therapy per se because of political or ideological reasons
Research Type: quantitative, qualitative, and mixed method studies were included, as were action research, case studies, articles and chapters from books about the open studio approach to art therapy</t>
  </si>
  <si>
    <t>findings that did not reference art therapy or the open studio approach.</t>
  </si>
  <si>
    <t>PCC</t>
  </si>
  <si>
    <t>not explicitly described as PCC, but meets criteria</t>
  </si>
  <si>
    <t>only studies with a therapeutic evaluation were tabulated. The included papers refer to this list, but the insights more broadly apply to the collated studies included</t>
  </si>
  <si>
    <t>psychiatric disorder/patient or homeless</t>
  </si>
  <si>
    <t>USA X4, Canada X1</t>
  </si>
  <si>
    <t>arts-focused therapy</t>
  </si>
  <si>
    <t>eligible</t>
  </si>
  <si>
    <t>sense of community belonging, intention to join a similar group in the community, forming important social connections</t>
  </si>
  <si>
    <t>only described as positive outcomes</t>
  </si>
  <si>
    <t>quality of life and wellbeing</t>
  </si>
  <si>
    <t>self-efficacy, identity, sense of purpose</t>
  </si>
  <si>
    <t>distress, mood</t>
  </si>
  <si>
    <t>only included in a couple of studies</t>
  </si>
  <si>
    <t>Firth</t>
  </si>
  <si>
    <t>A systematic review and meta-analysis of exercise interventions in schizophrenia patients</t>
  </si>
  <si>
    <t>to provide a comprehensive summary of all exercise trials in schizophrenia, and to quantify effects on both physical and mental health. Physical outcomes include metabolic risk and physical fitness. Mental health outcomes include positive and negative symptoms, psychosocial functioning, co-morbid disorders and neurocognitive dysfunction</t>
  </si>
  <si>
    <t>Ovid MEDLINE, Embase, PsycINFO and the Cochrane Central Register of Controlled Trials (CENTRAL)</t>
  </si>
  <si>
    <t xml:space="preserve">P: participants with any non-affective psychotic disorder, incl FEP
S: original English-language, peer-reviewed research articles
I: 'exercise' intervention is defined as any structured and repetitive physical activity that has an objective of improving or maintaining physical fitness
O: effect of exercise on at least one quantitative  measure of physical or mental health. </t>
  </si>
  <si>
    <t>Interventions that only used yoga, muscular relaxation or adventure activities were excluded, since their effects are theoretically derived from factors distinct from exercise. Multi-modal programmes that incorporated exercise within a broader lifestyle or psychosocial intervention were also excluded, as the effects of exercise alone cannot be determined.</t>
  </si>
  <si>
    <t>studies not reporting psychosocial, overall mental illness or QoL outcomes not eligible (6 studies)</t>
  </si>
  <si>
    <t>25-45</t>
  </si>
  <si>
    <t>sex and age range not reported</t>
  </si>
  <si>
    <t>physical activity interventions</t>
  </si>
  <si>
    <t>3 TAU, 1 waitlist, 4 active (2 of which also had waitlist), 2 control not defined, 1 within group</t>
  </si>
  <si>
    <t xml:space="preserve">psychosocial functioning (GAF, SOFS) </t>
  </si>
  <si>
    <t>significant improvement in two studies (yoga X2)), but no effect in two other studies (aerobic, yoga)</t>
  </si>
  <si>
    <t>SF-36, WHOQOL-BREF</t>
  </si>
  <si>
    <t>significant improvement in two studies (areobic and soccer)), but no effect in two other studies (strength and yoga)</t>
  </si>
  <si>
    <t>overall mental/illness severity, PANSS</t>
  </si>
  <si>
    <t>Total symptoms: Std MD: -0.16 [-0.51, 0.18[
-ve symptoms: Std MD: -0.44 [-0.78, -0.09]
+ve symptoms:
Std MD: -0.54 [-0.95, -0.13]</t>
  </si>
  <si>
    <t>positive effects for 6/10 mental health/illness severity outcomes</t>
  </si>
  <si>
    <t>risk of bias for each RCT was also assessed using the Cochrane’s Collaboration respective tool (Higgins et al. 2011)</t>
  </si>
  <si>
    <t>4</t>
  </si>
  <si>
    <t>moderate quality/ROB</t>
  </si>
  <si>
    <t>no ROB for non-RCTs. 4/8 RCTs had 3-4 high ROB or unknown ROB criteria out of 8 criteria</t>
  </si>
  <si>
    <t>When restricted to trials with moderate-vigorous exercise there were effects favouring the intervention on reductions in PANSS ratings. No meta-analysis of social functioning.</t>
  </si>
  <si>
    <t>no funding</t>
  </si>
  <si>
    <t>Author ARY has research grant support from Janssen Cilag and honoraria from  Janssen Cilag and Autifony Therapeutics</t>
  </si>
  <si>
    <t>Motivating factors and barriers towards exercise in severe mental illness: a systematic review and meta-analysis.</t>
  </si>
  <si>
    <t>to understand motivating factors and barriers to exercise for people with SMI</t>
  </si>
  <si>
    <t>Ovid Medline, Allied and Complementary Medicine Database (AMED), PsycINFO, EMBASE, and the Health Management Information Consortium (HMIC) database, Google Scholar</t>
  </si>
  <si>
    <t>may, 2016</t>
  </si>
  <si>
    <t>P: &gt;80% of sample had SMI diagnosis (i.e. schizophrenia, schizoaffective disorder, other psychotic disorders, bipolar disorder or major depressive disorder) and/or were currently receiving treatment for SMI.
O: studies were those reporting proportional data on motivating factors and/or barriers towards physical activity among people with SMI, from questionnaires, surveys or other quantitative method. ‘Motivating factors’ were defined as any outcome of exercise perceived by patients to be a reason for increasing physical activity.
‘Barriers’ were defined as any physiological, psychological or socio-ecological conditions reported to reduce patients’ participation in exercise.
S: english research articles in peer-reviewed journals</t>
  </si>
  <si>
    <t>Studies which used only qualitative methods were not eligible for inclusion, as these have been comprehensively reviewed elsewhere (Mason &amp; Holt 2012; Soundy et al. 2014a)</t>
  </si>
  <si>
    <t>consistent with PCC</t>
  </si>
  <si>
    <t>mean: 20-55</t>
  </si>
  <si>
    <t>serious mental illness: schizophrenia, FEP, MDD, BP</t>
  </si>
  <si>
    <t>UKX2</t>
  </si>
  <si>
    <t>Italy X1</t>
  </si>
  <si>
    <t>USAX3, CanadaX3</t>
  </si>
  <si>
    <t>motivating factors for exercise in severe mental illness</t>
  </si>
  <si>
    <t>see participation</t>
  </si>
  <si>
    <t>descriptive and quantitative account of motivating factors (Table 1), and barriers (Table 2)</t>
  </si>
  <si>
    <t>Physical motivations:
* improve general physical health (91% agree, N = 6, n = 790, 95% CI 80–94, Q =81, p &lt; 0.01, I2 = 94%).
* Increasing fitness/energy (75% agree, N = 5, n = 549, 95% CI 64.9–83.4, Q = 19, p &lt; 0.01, I2 = 79%)
* ‘Improving appearance’ (77% agree, N=3, n = 465, 95% CI 64–88, Q = 13.3,p &lt; 0.01,I2 = 85%)
* ‘losing weight’ (83% agree, N=3, n = 169, 95% CI 54–99, Q = 30, p &lt; 0.01, I
2 = 93%). 
* ‘Improving strength’ (72% agree, N = 3, n = 169, 95% CI 55–87, Q = 10, p &lt; 0.01, I2 = 81%).
Physical barriers:
* Physical illness/poor health (25% agree, N = 3, n = 359, 95% CI 10–41, Q = 64, p &lt; 0.01, I2 = 92%). 
* Tiredness/low energy (45% agree, N = 5, n = 6080, 95% CI 25–67, Q = 322, p &lt; 0.01, I2 = 99%)
Psych Motivations:
* improving overall mental health (80% agree; N = 6, n = 788, 95% CI 62–93, Q = 134, p &lt; 0.01, I2 = 96%), 
* reducing stress (78% agree, N = 4, n = 520, 95% CI 59–92, Q = 50, p &lt; 0.01, I2 = 94%) 
* managing mood (81% agree, N = 3, n = 464, 95% CI 62–93, Q = 32, p &lt; 0.01, I 2 = 94%) 
* improving sleep (72% agree, N = 3, n = 464, 95% CI 55.6–86, Q = 20, p &lt; 0.01, I2 = 90%)
* enjoyment of exercise (54% agree, n = 807, 95% CI 42.5–64.6, Q = 53, p &lt; 0.01, I2 = 89%).
Psych Barriers:
* ‘Stress/depression’ (61% agree, N = 3, n = 5646, 95% CI 43–77, Q = 48, p &lt; 0.01, I2 = 96%),
* ‘disinterest in exercise’ (32% agree, N = 3, n = 5822, 95% CI 16–51, Q = 96, p &lt; 0.01, I2= 98%). 
* Feeling unsafe (12% agree, N = 4, n = 5747, 95% CI 9–16, Q= 7, p = 0.07, I2 = 57%)
* fears of injury (8% agree, N = 3, n = 359, 95% CI 5–11, Q = 0.9, p = 0.64, I2 = 0%)
Socio-ecological motivations
* Social aspects of exercise (27%, N = 3, n = 452, 95% CI 23–32, Q = 0.1, p &lt; 0.097, I 2 = 0%). 
Socio-ecological barriers:
* ‘lack of support’ (50% agree,  = 3, n = 5646, 95% CI 15–86, Q = 240, p &lt; 0.01, I2 = 99%)
* ‘Lack of time’ (19% agree, N = 5, n = 6078, 95% CI 11.3–27.2, Q = 68, p &lt; 0.01, I2 = 94%). 
* ‘lack of exercise information’ (10% agree, n = 589, 95% CI 7–14, Q = 3.4, p = 0.18, I2 = 42%)</t>
  </si>
  <si>
    <t>MRC Doctoral Training Scholarship</t>
  </si>
  <si>
    <t>Geretsegger</t>
  </si>
  <si>
    <t>Music therapy for people with schizophrenia and schizophrenia-like disorders</t>
  </si>
  <si>
    <t>To review the effects of music therapy, or music therapy added to standard care, compared with placebo therapy, standard care or no treatment for people with serious mental disorders such as schizophrenia.</t>
  </si>
  <si>
    <t>Not printed</t>
  </si>
  <si>
    <t>AMED,BIOSIS, CINAHL, Embase, MEDLINE, PsycINFO, PubMed, and registries of clinical trials, monthly updates, handsearches, grey literature, and conference proceedings</t>
  </si>
  <si>
    <t>15/01/2015</t>
  </si>
  <si>
    <t>Music therapy models practised today are most commonly based on psychodynamic, humanistic, cognitive behavioural or developmental theory. music therapy for people with serious mental disorders oTen relies on a mixture of active and receptive techniques, even though musical improvisation and verbalisation of the musical interaction are often central.</t>
  </si>
  <si>
    <t>P: people with schizophrenia or schizophrenia-like disorders, diagnosed by any criteria
I: Music therapy or music therapy added to standard care
C: placebo, standard care or no treatment
O: Primary: Global state, mental state, functioning
O: Secondary: global state (relapse, medication etc), mental state, specific aspects of functioning.
D: RCTs</t>
  </si>
  <si>
    <t>quasi experimental studies</t>
  </si>
  <si>
    <t>Mean age Min=24.9, max=
42.9</t>
  </si>
  <si>
    <t>sex missing for some participants</t>
  </si>
  <si>
    <t>schizophrenia</t>
  </si>
  <si>
    <t>Music therapy - all in the inpatient setting, with two also in outpatient therapy. All but two were in a group setting. Summary of the interventions does not refer to social skills as a key element in the therapy.</t>
  </si>
  <si>
    <t>Standard care/TAU X 17; one study had an active placebo group</t>
  </si>
  <si>
    <t>Social functioning</t>
  </si>
  <si>
    <t>Significant effects favouring music therapy were found in the short term (1 RCT, n = 40, SMD -1.25 95% CI -1.94 to -0.57), medium term (2 RCTs, n = 160, SMD -0.72 95% CI -1.04 to -0.40), and long term (1 RCT, n = 90, SMD -0.56 95% CI -0.98 to -0.14</t>
  </si>
  <si>
    <t>only measured in three studies</t>
  </si>
  <si>
    <t>QoL and social support QoL</t>
  </si>
  <si>
    <t>1 RCT w 'high dose' (n = 72, SMD 1.82 95% CI 1.27 to 2.38)
1 RCT w low dose (n = 31, SMD 0.05 95% CI -0.66 to 0.75)
Specific aspects of quality of life (social support; SSQ, high score = good) were assessed in a 'high-dose' study (Chang 2013) and showed a significant effect favouring music therapy (1 RCT, n = 72, SMD 0.73 95% CI 0.26 to 1.21)</t>
  </si>
  <si>
    <t>Positive effects in studies with higher doses</t>
  </si>
  <si>
    <t>General functioning, cognitive functioning, behaviour</t>
  </si>
  <si>
    <t>General fn: GAF score in 2 low dose studies: no significant short or medium term effects (short term: 1 RCT, n = 53, SMD 0.08 95% CI -0.47 to 0.62; medium term: 2 RCTs, n = 118, SMD -0.19 95% CI -0.56 to 0.18)
Cog fn: PASAT (high score = good) had significant medium-term effect (1 RCT, n = 67, SMD 0.72 95% CI 0.22 to 1.21, P = 0.005). CCPT scores measuring vigilance and attention (high score = good) had no medium term effect in the same study (1 RCT, n = 67, SMD 0.25 95% CI -0.23 to 0.74). No medium terme ffects on memory (WMS, high
score = good; 1 RCT, n = 67, SMD 0.43 95% CI -0.06 to 0.92); memory (CMT, high score = good) sig short-term effects  (1 RCT, n = 60, SMD0.58 95% CI 0.06 to 1.09). Abstract thinking (BCST, high score = good) were not significant at medium term (1 RCT, n = 67, SMD
0.09 95% CI -0.39 to 0.58, Analysis 1.18). Average endpoint scores of abstract thinking (WCST-Cc, high score = good) showed no short term effects (2 RCTs, n = 90, SMD -0.02 95% CI -0.07 to 0.03), but significant medium term effects  (1 RCT, n = 30, SMD 1.18 95% CI 0.33 to 2.03, Analysis 1.19).
Behaviour: positive medium-term effects (1 RCT, n = 62, SMD 0.69 95% CI 0.18 to 1.20)</t>
  </si>
  <si>
    <t>mixed findings, but generally positive</t>
  </si>
  <si>
    <t>PANSS, SAPS</t>
  </si>
  <si>
    <t>large effcts (standardised mean difference (SMD) &gt; 0.80) on general mental state (PANSS: total n = 159, SMD -0.97 95% confidence interval (CI) -1.31 to -0.63;BPRS:total n = 70, SMD-1.25 95% CI-1.77 to -0.73) and
medium-sized effects (SMD ≈ 0.50) on negative symptoms (SANS: total n = 177, SMD -0.55 95% CI -0.87 to -0.24).
Short-termeNectsofmediumsizewere seenfornegative symptoms (total n = 319, SMD -0.50 95% CI -0.73 to -0.27)</t>
  </si>
  <si>
    <t>Cochrane Handbook for Systematic Reviews of Interventions (Higgins
2011).</t>
  </si>
  <si>
    <t>"most"</t>
  </si>
  <si>
    <t>most studies/domains had unclear ROB so true ROB not clear.</t>
  </si>
  <si>
    <t>checked impact of missing data on results, and examined sources of heterogeneity with I2 statistics</t>
  </si>
  <si>
    <t>two authors were involved with an included trial</t>
  </si>
  <si>
    <t>Gonzalvez</t>
  </si>
  <si>
    <t>Efficacy of sex education programs for people with intellectual disabilities: A meta-analysis</t>
  </si>
  <si>
    <t>to evaluate the degree of efectiveness of sex education  programs for people with intellectual disabilities and determine which moderating vari_x0002_ables are involved in this efectiveness. This general purpose is specifed in the following  specifc aims: (a) to analyze the characteristics of sex education programs for people with  intellectual disabilities; (b) to study the variability of the results attending to substantive, methodological and extrinsic variables; (c) to propose future lines of research based on the results obtained.</t>
  </si>
  <si>
    <t>Web of Science (Science Cita_x0002_tion Index Expanded, Social Science Citation Index Expanded), Scopus, PsycINFO and ERIC</t>
  </si>
  <si>
    <t>Oct, 2017</t>
  </si>
  <si>
    <t>P: participants must be people with intellectual disabilities; 
I: program should develop contents on sexual education; 
C/D: the study should have a design with an experimental group and a control group and pretest–posttest measurements; 
O: actual eligible outcomes not specified in design, but the study had to provide enough data to calculate the effect sizes.</t>
  </si>
  <si>
    <t>not explicitly using design structure</t>
  </si>
  <si>
    <t>two studies in paeds; as it is a meta-analysis just include all data, though.</t>
  </si>
  <si>
    <t>mean min: 21, max: 39</t>
  </si>
  <si>
    <t>mild ID (4 studies), mild or moderate ID (2 studies), mild, moderate or severe disability (1 study), not defined (1 study)</t>
  </si>
  <si>
    <t>USAX4</t>
  </si>
  <si>
    <t>Japan X1, China X1</t>
  </si>
  <si>
    <t>sex education programs</t>
  </si>
  <si>
    <t>inactive control X7, no CG (pre-post) X1</t>
  </si>
  <si>
    <t>inappropriate behaviours, decision making, global effects, sexual abuse, social skills relationships</t>
  </si>
  <si>
    <t xml:space="preserve">inappropriate behaviors (d=-1.26, 95%CI: -2.00, -0.51, II2=84%)
decision making (d=−1.03, 95%CI: -1.55, -0.51, I2=79%) * adult studies only
global effect (d=−0.64, 95%CI: -0.84, -0.44, I2=66%) 
sexual abuse (d=−0.71 nr)
social skills and relationships (d=−0.41 nr) </t>
  </si>
  <si>
    <t>stronger effects in: programs with a single sex, particulary male only groups; studies from 2000-2009 vs 1988-1999 and 2010-2017; studies with instructors who have high level of education vs medium and low levels of education.</t>
  </si>
  <si>
    <t>Grant</t>
  </si>
  <si>
    <t>Social cognition interventions for people with schizophrenia: A systematic review focussing on methodological quality and intervention modality</t>
  </si>
  <si>
    <t>to review the current status of social cognition interventions, with particular reference to the issues that will be instrumental in evaluating their efficacy: methodological quality and intervention type.</t>
  </si>
  <si>
    <t>PsycInfo and PubMed database</t>
  </si>
  <si>
    <t>May, 2016</t>
  </si>
  <si>
    <t>P: aged 18 to 65 years w diagnosis of schizophrenia or schizoaffective disorder, according to the Diagnostic and Statistical Manual of Mental Disorder (Mendelson, 1995), Research Diagnostic Criteria (Spitzer, Endicott, &amp; Robins, 1978) or International Classification of Diseases (Uribe, 1996)
I: the intervention targeted one or more social cognition domains (theory of mind, affect recognition,
attributional style and social perception). For interventions that targeted additional outcomes (e.g. cognition), the social cognition intervention accounted for &gt; 50% of the therapy time.
I/C: social cognition intervention and a comparison group (e.g. treatment as usual or active control group)
D: randomised controlled trials</t>
  </si>
  <si>
    <t>schizohrenia or schizoaffective disorder</t>
  </si>
  <si>
    <t>nr - just said "18 from Europe"</t>
  </si>
  <si>
    <t>EgyptX1, Israel X1</t>
  </si>
  <si>
    <t>USX12</t>
  </si>
  <si>
    <t>China X1,  Korea X1</t>
  </si>
  <si>
    <t>Social cognition interventions</t>
  </si>
  <si>
    <t>NT, TAU, active controls</t>
  </si>
  <si>
    <t>Theory of mind (18 studies), affect recognition (26 studies), attribution style (8 studies), social perception (9 studies), global social knowledge (2 studies)</t>
  </si>
  <si>
    <t>most of the studies found improvements in ToM (out of 18 studies) and affect recognition (out of 26 studies), 6/8 had no effect on attribution style, and 4/9 studies had positive effects on social perception knowledge</t>
  </si>
  <si>
    <t>functional outcomes, including social engagement, interpersonal communication (specific measures in Appendix)</t>
  </si>
  <si>
    <t>only studies reporting a significant improvement in social perception (but not ToM affect recognition or attribution style) reported a significantly higher chance of functional improvements.</t>
  </si>
  <si>
    <t>Clinical Trials Assessment
Measure (CTAM) (Wykes, Steel, Everitt, &amp; Tarrier, 2008). This is a 15-
item measure of trial methodology specifically developed for psycho_x0002_logical treatment studies</t>
  </si>
  <si>
    <t>most</t>
  </si>
  <si>
    <t>the highest quality score was 77/100, but more than half had scores less than 50/100</t>
  </si>
  <si>
    <t>Hallett</t>
  </si>
  <si>
    <t>Physical activity for autistic adults: Recommendations for a shift in approach</t>
  </si>
  <si>
    <t>To systematically review the gaps in the literature on exercise-based interventions for adults with ASD</t>
  </si>
  <si>
    <t>Academic Search Complete, AMED, ASSIA, Biomed Central, BMJ Open, British Nursing Index, CINAHL, Clinical Evidence, Cochrane Library, DOAJ, Emerald Premier, EThOS, IngentaConnect, JSTOR, MEDLINE, NHS Evidence, Periodicals  Archive Online, PsycARTICLES, PsycINFO,  PubMed, Science Citation Index Expanded, ScienceDirect, Scopus, Social Sciences Citation Index, SPORTDiscus, TRIP, Web of Science</t>
  </si>
  <si>
    <t>Spring, 2018</t>
  </si>
  <si>
    <t>P: ASD, Aspergers, PDD diagnosis or criteria met, aged 18+, mixed age groups included if majority aged 18+ or mean age 18+
I: exercise/physical activity, land or water-based, group or individual etc.
C/D: random allocation or comparison group designs; qualitative evaluations that includes data from autistic individuals,</t>
  </si>
  <si>
    <t>no O defined</t>
  </si>
  <si>
    <t>3 studies did not incl SCC component/outcome</t>
  </si>
  <si>
    <t>severity/diagnosis not clear</t>
  </si>
  <si>
    <t>one study included people with ID</t>
  </si>
  <si>
    <t>physical activity interventions comparing between groups</t>
  </si>
  <si>
    <t>one waitlist, one within subject, one "control group" not defined</t>
  </si>
  <si>
    <t xml:space="preserve">maladaptive and sterotypic behaviours, communication regulation, interaction imitation, emotion, </t>
  </si>
  <si>
    <t>one study found no effects on communication regulation after dance therapy</t>
  </si>
  <si>
    <t>social belonging/community integration</t>
  </si>
  <si>
    <t>only measured in one study</t>
  </si>
  <si>
    <t>noted some potential quality issues throughout discussion, but no tool used</t>
  </si>
  <si>
    <t>Howarth</t>
  </si>
  <si>
    <t>Health and social care interventions which promote social participation for adults with learning disabilities: A review</t>
  </si>
  <si>
    <t>identify and appraise evidence of health and social care interventions that aim to support people with learning disabilities to develop and enhance their social networks and participation</t>
  </si>
  <si>
    <t>included Medline, CINAHL, PsycINFO, Bild, ERIC, The Cochrane Library, Social Science Citation Index and Social Care Online</t>
  </si>
  <si>
    <t>Apr, 2014</t>
  </si>
  <si>
    <t>social inclusion and social capital theories: people w/ LD as citizens who are able to make a contribution to the whole community.</t>
  </si>
  <si>
    <t>P: adults w LD aged 18-64 years
I: interventions that aim to impprove social participation
O: social participation outcomes
D: english, no restrictions on design to maximise inclusion</t>
  </si>
  <si>
    <t>The intervention measured community or society level changes only; 
P: The sample predominantly comprised people under the age of 18</t>
  </si>
  <si>
    <t>no C defined (although stated all study designs eligible)</t>
  </si>
  <si>
    <t xml:space="preserve">Bigby 2008, Chou 2011,  Duvdevany 2004 focused on residential change </t>
  </si>
  <si>
    <t>sample size not reported for four studies; age/sex not reported</t>
  </si>
  <si>
    <t>not reported, but possible</t>
  </si>
  <si>
    <t>severity not reported</t>
  </si>
  <si>
    <t xml:space="preserve">England X 2, UK X 1, Wales X 1, </t>
  </si>
  <si>
    <t>Netherlands X 1, Georgia X1</t>
  </si>
  <si>
    <t>USA X 2</t>
  </si>
  <si>
    <t>Health and social care interventions to enhance social/community inclusion and participation</t>
  </si>
  <si>
    <t>not clearly defined</t>
  </si>
  <si>
    <t>some of the interventions targeted social skills/relationships, but not social skills outcomes extracted in table</t>
  </si>
  <si>
    <t xml:space="preserve">social network circle/contacts incl type of contact and fequency of meeting; circle of friends measure for social networks; local Trust service audit to measure participation in the community; use of community facilities; contact with friends/relatives; IPRI; social changes; social network analysis form; resident lifestyle inventory; index of community involvement; social network map; </t>
  </si>
  <si>
    <t>5/8 studies had positive effects on social networks and social contacts; 3 had no effect</t>
  </si>
  <si>
    <t>Cochrane collaboration risk of bias tool (Higgins 2011)</t>
  </si>
  <si>
    <t>0</t>
  </si>
  <si>
    <t>7 studies had moderate quality, 1 had high quality</t>
  </si>
  <si>
    <t>Hutchinson</t>
  </si>
  <si>
    <t>The effectiveness of intensive interaction, a systematic literature review</t>
  </si>
  <si>
    <t>What are the effects of using Intensive Interaction with a person with an  intellectual disability or autism on social communication, self-injurious behaviour and repetitive behaviour? Are these effects influenced by the training of practitioners or staff experience?</t>
  </si>
  <si>
    <t>CINAHL, PsychInfo, Medline, ERIC and Web of Science</t>
  </si>
  <si>
    <t>Aug, 2013</t>
  </si>
  <si>
    <t>‘Dual Aspect Process Model’, Firth states that processes seen are evident at two different time points of using the approach, one to support communication skills and the second to support social engagement and inclusion.</t>
  </si>
  <si>
    <t>P: any age, ID or ASD
I: using intensive interaction as an intervention
C: not defined
O: examining effects on outcomes (not defined)
S: in peer-reviewed journal or in process of submission for publication, written in English</t>
  </si>
  <si>
    <t>literature reviews and non-empirical papers</t>
  </si>
  <si>
    <t>no C or specific Os defined</t>
  </si>
  <si>
    <t>most excluded due to paediatric samples, and some did not measure SCC impacts</t>
  </si>
  <si>
    <t>late teens</t>
  </si>
  <si>
    <t>early 60s</t>
  </si>
  <si>
    <t>gender not reported for six participants; age not reported clearly in all studies</t>
  </si>
  <si>
    <t>ASDX2</t>
  </si>
  <si>
    <t>profound and multiple intellectual disabilities (PMID)X6, ID X1</t>
  </si>
  <si>
    <t>Intensive Interaction: a technique of communication with people who do not use words, using  pre-verbal communication techniques for instance responsive eye contact, facial expressions, vocal mirroring and joint focus activities</t>
  </si>
  <si>
    <t>all had some form of multiple baseline</t>
  </si>
  <si>
    <t>communication/social behaviour, initiation of social contact etc.</t>
  </si>
  <si>
    <t>7/8 studies showed improvements in social communication; one showed a decrease in vocalisations after the intervention and another showed no consistent changes in vocalisations, smiling, laughing or looking at toy despite increases in looking at people and joint attention.</t>
  </si>
  <si>
    <t>self-injurious behaviour</t>
  </si>
  <si>
    <t>measured only in one study, and no change</t>
  </si>
  <si>
    <t>single case experimental design (SCED) checklist (Tate et al. 2008) for case studies (score/11); quality framework from the
National Institute for Health and Care Excellence for qualitative studies (score/26 for 13 items)</t>
  </si>
  <si>
    <t>6/8</t>
  </si>
  <si>
    <t>most studies met ~50% or fewer quality criteria</t>
  </si>
  <si>
    <t>Hutzler</t>
  </si>
  <si>
    <t>Motivational correlates of physical activity in persons with an intellectual disability: A systematic literature review</t>
  </si>
  <si>
    <t>purpose of this study was to systematically retrieve, examine, and discuss scientific studies focusing on motivational correlates of participation in sport, recreation or health-related physical activities in persons with ID</t>
  </si>
  <si>
    <t>Sportdiscus (accessed through EBSCO service provider), Medline, PsychINFO, and Cochrane library</t>
  </si>
  <si>
    <t xml:space="preserve">D: the research was data-based, the article appeared in English language, Studies were published throughout the 30-year period between 1980 and 2009
P: participants had ID diagnosis
I/E: engaged in physical
activity either prior to or during the study period,
and </t>
  </si>
  <si>
    <t>no explicit C or O defined</t>
  </si>
  <si>
    <t>9 paeds studies and 3 studies with no SCC intervention/outcome were not relevant</t>
  </si>
  <si>
    <t>mean: Q1 min: 31; Q3 max: 44</t>
  </si>
  <si>
    <t>mild-moderate ID in most studies; not defined in 4 studies</t>
  </si>
  <si>
    <t>physical activity, exercise and sport</t>
  </si>
  <si>
    <t>sedentary control groups</t>
  </si>
  <si>
    <t>social competence (Dykens 1996)</t>
  </si>
  <si>
    <t>people who participation in SO for longer have higher social competence, and ppl in SO have higher social competence than controls not in SO</t>
  </si>
  <si>
    <t>social integration, social interaction, making new friends, social acceptance, social self-perception, social support</t>
  </si>
  <si>
    <t>one study identified barriers: sedentary leisure choices, negative supports, lack of guidance</t>
  </si>
  <si>
    <t>self-efficacy</t>
  </si>
  <si>
    <t>only measured in a couple of studies</t>
  </si>
  <si>
    <t>depression</t>
  </si>
  <si>
    <t>only in one study</t>
  </si>
  <si>
    <t>Four scales:
1. Oxford Centre for Evidence-based Medicine: CEBM (2009)
2. Strength of Recommendation Taxonomy’: SORT (Ebell et al. 2004)
3.  Cochrane Library scale (Cochrane Library 2009)
4. PEDro: Physiotherapy Evidence Database (2009) scale</t>
  </si>
  <si>
    <t>Only provided quality of evidence for the intervention studies (Carmeli; Riggen; Heller)</t>
  </si>
  <si>
    <t>nothing disclosed in paper</t>
  </si>
  <si>
    <t>Kaltenthaler</t>
  </si>
  <si>
    <t>The effectiveness of sexual health interventions for people with severe mental illness: A systematic review</t>
  </si>
  <si>
    <t>To evaluate the effectiveness of sexual health interventions for people with SMI compared with usual care and their applicability to the UK NHS setting.</t>
  </si>
  <si>
    <t>DON'T PRINT - very long</t>
  </si>
  <si>
    <t>MEDLINE, CINAHL, Cochrane Database, CENTRAL, HTA, DARE, PsycINFO, Conference Proceedings Web of Science, UK Clinical Research Network, ClinicalTrials.gov, metaRegister of Controlled trials</t>
  </si>
  <si>
    <t>Dec, 2012</t>
  </si>
  <si>
    <t>P: Adults 18 years+, with SMI, living in the community and their carers/staff
I:  health promotion intervention or combination of interventions (e.g. educational, behavioural, psychological, counselling, etc. delivered at individual, group and community levels) intended to change the knowledge, attitudes, beliefs, behaviours or practices of individuals and populations to improve their sexual health
C: standard usual care or active control
O: biological: STIs (including HIV), unintended pregnancy; behavioural: numbers of partners, use of contraception/condoms, uptake of screening or treatment services; proxy: knowledge, attitudes and beliefs, barriers and facilitators, intentions, skills.
D: controlled trials (random or non-randomised), within groups trials excluded b/c changes may be due to other factors</t>
  </si>
  <si>
    <t>P: Adults with dementia, personality disorder, chronic depression or intellectual disability were excluded as they are not included in the definition of SMI.
D: Reviews of primary studies were not included in the analysis, but were retained for discussion and identification of additional studies. Moreover, the following publication types were excluded from the review: animal models; preclinical and biological studies; editorials; opinions; non-English-language papers; and reports published as meeting abstracts only, where insufficient methodological details are reported to allow critical appraisal of study quality. Studies from  developing countries were also excluded as it is difficult to generalise (e.g. transferability and acceptability) the characteristics of the effective interventions to developed countries.</t>
  </si>
  <si>
    <t>mean age Min: 33.7, max: 42.3</t>
  </si>
  <si>
    <t>two studies with women, 5 studies with men and 5 studies with mixed gender cohort</t>
  </si>
  <si>
    <t>All with SMI - schizophrenia or Bipolar</t>
  </si>
  <si>
    <t>USAX13</t>
  </si>
  <si>
    <t>sexual health interventions that generally included strategies to increase knowledge, assess and reduce sexual health risks (especially HIV/AIDS), change behaviour and develop condom skills.</t>
  </si>
  <si>
    <t xml:space="preserve">Standard care/TAU, money management intervention, waitlist, not treatment, single education session, active control, health promotion comparison, </t>
  </si>
  <si>
    <t xml:space="preserve">attitudes, knowledge, motivation, </t>
  </si>
  <si>
    <t>Knowledge: 5/6 had positive effect; attitudes: 3/3 positive effect; motivation: No difference</t>
  </si>
  <si>
    <t>Sexual risk behaviours with casual partners, sexual assertiveness, unprotected sex, number of partners</t>
  </si>
  <si>
    <t>Risk behaviours (50% positive effects, 6 studies); specific risk behaviours: unprotected sex 4/4 studies, but one only had effect in women; casual partners or number of partners: positive effects in 3/7 studies; condom use/attitudes improved in 4/4 studies</t>
  </si>
  <si>
    <t>Effective Public Health Practice Project (EPHPP) (www.ephpp.ca/Tools.html) tool</t>
  </si>
  <si>
    <t>3</t>
  </si>
  <si>
    <t>8 had moderate quality, 3 had weak quality, 2 had strong quality</t>
  </si>
  <si>
    <t xml:space="preserve">HTA programme as project number 12/74/01. </t>
  </si>
  <si>
    <t>One author receives fees/honoraria from companies that manufacture products that can potentially impact on sexual functioning. He is also funded by the National Institute of Health Research to undertake a trial to promote physical (including sexual) health in patients with mental illness.</t>
  </si>
  <si>
    <t>Kamioka</t>
  </si>
  <si>
    <t>Effectiveness of animal-assisted therapy: A systematic review of randomized controlled trials</t>
  </si>
  <si>
    <t>to summarize the evidence from randomized controlled trials (RCTs) on the effects of animal-assisted therapy (AAT).</t>
  </si>
  <si>
    <t>MEDLINE via PubMed, CINAHL, Web of Science, Ichushi Web (in Japanese), the Global Health Library (GHL), the Western Pacific Region Index Medicus (WPRIM), and PsycINFO. We also searched the Cochrane Database of Systematic Reviews (Cochrane Reviews), the Database of Abstracts of Reviews of Effects (DARE), the Cochrane Central Register of Controlled Trials (CENTRAL), the Cochrane Methodology Register (Methods Studies), the Health Technology Assessment Database (Technology Assessments), the NHS Economic Evaluation Database (NHS EED), The Cochrane Collaboration databases (Cochrane Groups), and the Campbell Systematic Reviews (the Campbell Collaboration) 
International Clinical Trials Registry Plat_x0002_form (ICTRP), the International Prospective Register of Systematic Review (PROSPERO), the Clinical Trials.gov reg_x0002_istry, and the University Hospital Medical Information Network-Clinical Trials Registry (UMIN-CTR)</t>
  </si>
  <si>
    <t>31/10/2012</t>
  </si>
  <si>
    <t>P: no restrictions
I: AAT in accordance with the classification of the AVMA
C: not specified but had to be controlled (RCT)
O: cure and rehabilitation effects using the ICD-10
S: RCTs, no restriction on language</t>
  </si>
  <si>
    <t>comparator not defined, but RCT was so ok</t>
  </si>
  <si>
    <t>ineligible studies were in other patient populations</t>
  </si>
  <si>
    <t>age and sex/gender not reported in nearly all extracted details</t>
  </si>
  <si>
    <t>Schizophrenia X3, depression X3, psychiatric rehabilitation X1</t>
  </si>
  <si>
    <t>Spain X1, Norway X1</t>
  </si>
  <si>
    <t>USAX3 (one in USA &amp; Honduras)</t>
  </si>
  <si>
    <t>Taiwan</t>
  </si>
  <si>
    <t>animal-assisted therapy</t>
  </si>
  <si>
    <t>TAU/routine care, outdoor nature program with same water activities but excluding dolphins, therapy groups without dog; reading/discussion group wtihout animals</t>
  </si>
  <si>
    <t>social interactions, social support, loneliness, Social Adaptive Functioning Evaluation, social contacts, QoL for social contacts</t>
  </si>
  <si>
    <t>positive effects for 4/6 studies measuring social functioning</t>
  </si>
  <si>
    <t>self efficacy, self determination</t>
  </si>
  <si>
    <t>Depression and PANSS</t>
  </si>
  <si>
    <t>positive effects in all studies measuring clinical outcomes</t>
  </si>
  <si>
    <t>Cochrane’s criteria list for the methodological quality assessment.</t>
  </si>
  <si>
    <t>2/7 met &lt;50% of ROB criteria, and 3 met 55-64% of ROB criteria</t>
  </si>
  <si>
    <t>Health and Labour Sciences Research Grants (Research on Health Security Control: ID No. H24-021; representative; Dr. Tsutani K) from the Japanese Ministry of Health, Labour and Welfare of Japan in 2012</t>
  </si>
  <si>
    <t>Lindsay</t>
  </si>
  <si>
    <t>Pedestrian navigation and public transit training interventions for youth with disabilities: a systematic review</t>
  </si>
  <si>
    <t>what are the best practices and effective components of travel training programs and interventions for youth with disabilities?</t>
  </si>
  <si>
    <t>Embase, Medline, Healthstar, AocAbs, ERIC, PsycInfo, Transport</t>
  </si>
  <si>
    <t>ICF-DH</t>
  </si>
  <si>
    <t>P: sample with a disability, defined as an impairment in body structure and function];  30 years of age or less, or if findings have been delineated by age; 
I: an empirical study reporting on a transportation training program or intervention (for outdoor spatial navigation); 
S: published in English, from 1992 to 2017 in a peer-reviewed journal or published conference proceeding.</t>
  </si>
  <si>
    <t>excluded (1) descriptive or opinion articles; (2) gray literature (i.e., non-peer reviewed reports, etc.); (3)
indoor navigation training; and (4) studies where the samples were inadequately described.</t>
  </si>
  <si>
    <t>no comparator or outcome defined</t>
  </si>
  <si>
    <t>8 studies had ineligible disabilities, 7 were in paediatric samples, 3 only compared navigation abilities with a nondisabled control group</t>
  </si>
  <si>
    <t>min M=19, max M=32</t>
  </si>
  <si>
    <t>very few studies included sex/gender</t>
  </si>
  <si>
    <t>one study only</t>
  </si>
  <si>
    <t>down syndrome, intellectual disability, developmental disability</t>
  </si>
  <si>
    <t>UKX3</t>
  </si>
  <si>
    <t>spain X1, France X1</t>
  </si>
  <si>
    <t>USA X9</t>
  </si>
  <si>
    <t>navigation, wayfinding interventions, primarily teaching navigation skills through use of apps or personal devices</t>
  </si>
  <si>
    <t>travel/navigation</t>
  </si>
  <si>
    <t>accuracy and capacity to navigate, use bus route, generalisation to actual bus route</t>
  </si>
  <si>
    <t>positive effects in 7/9 studies measuring performance (the remaining studies predomantly compared navigation capacity between ppl with ID and non-disabled controls</t>
  </si>
  <si>
    <t>self-determination</t>
  </si>
  <si>
    <t>the American Academy of Neurology  (AAN) appraisal system [19] to assess quality and overall bias</t>
  </si>
  <si>
    <t>the reporting of the quality assessment is not clear!</t>
  </si>
  <si>
    <t>a career award from the Ontario Ministry of
Research and Innovation.</t>
  </si>
  <si>
    <t>Lorenc</t>
  </si>
  <si>
    <t>Preventative co-ordinated low-level support for adults with high-functioning autism</t>
  </si>
  <si>
    <t>Did not extract as pretty much all studies overlapped wtih the published paper</t>
  </si>
  <si>
    <t>Support for adults with autism spectrum disorder without intellectual impairment: Systematic review</t>
  </si>
  <si>
    <t>to assess the effectiveness of supportive interventions for adults with ASD without intellectual impairment.</t>
  </si>
  <si>
    <t>ASSIA, EMBASE, ERIC, MEDLINE, PsycInfo, PubMed, Science Citation Index, Social Science Citation Index, and Social Policy and Practice.</t>
  </si>
  <si>
    <t>Nov, 2016</t>
  </si>
  <si>
    <t>P: adults aged 18 or older (mean age 18+) with ASD without intellectual impairment (i.e. with IQ⩾70), or their families or carers, or focus on an intervention for people with ASD without intellectual impairment
I: intervention designed to 
support individuals in their daily lives
C/D: quantitative data on the effectiveness of an intervention (including controlled and uncontrolled studies, as long as they either present pre-post data or use random allocation)
O: any outcome other 
than purely cognitive or task-following outcomes
S: English</t>
  </si>
  <si>
    <t>Studies which included some participants with intellectual impair_x0002_ment (IQ&lt;70), or where it was unclear whether such participants were included, were excluded.</t>
  </si>
  <si>
    <t>extraction for all 32 given that the two ineligible papers looked at interview training/employment support</t>
  </si>
  <si>
    <t>min M=18, max M=36</t>
  </si>
  <si>
    <t>without ID</t>
  </si>
  <si>
    <t>uk X3, ireland X1</t>
  </si>
  <si>
    <t>germany X2, Netherlands X1, SpainX1, sweden X1</t>
  </si>
  <si>
    <t>usa X 21</t>
  </si>
  <si>
    <t>supportive interventions designed to support individuals in their daily lives for adults with autism spectrum disorder without intellectual impairment: Interventions included Social skills training and psychoeducation;  Job interview training; Employment support;  Music and dance; Support and mentoring for university students.</t>
  </si>
  <si>
    <t>no treatment, active control, treatment as usual</t>
  </si>
  <si>
    <t>Adaptive behaviour scale, SRS-2, ASQ, DAQ, EQ, social provisions scale, social cognition, social skills rating system, social and emotional loneliness scale fo adults, Quality of Socialisation QUestionnaire, index of peer relations, socialisation satisfaction, social pragmatic scale</t>
  </si>
  <si>
    <t>positive effects for 11/20 studies</t>
  </si>
  <si>
    <t>number of social activities, socialisation scale, need for/engagement/satsifaction with leisure, Quality of Socialisation scalesocialisation satisfaction/confidence</t>
  </si>
  <si>
    <t>no significant effect for 5/6 studies</t>
  </si>
  <si>
    <t>anxiety, depression, social anxiety</t>
  </si>
  <si>
    <t>not significant in most studies</t>
  </si>
  <si>
    <t xml:space="preserve">quality of studies using a version of the EPHPP tool </t>
  </si>
  <si>
    <t>just reported equal numbers had ratings of high quality and moderate/low quality, but didn't provide quality ratings by study</t>
  </si>
  <si>
    <t>UK Department of Health’s Policy Research Programme</t>
  </si>
  <si>
    <t>Louw</t>
  </si>
  <si>
    <t>Enhancing social inclusion of young adults with intellectual disabilities: A systematic review of original empirical studies</t>
  </si>
  <si>
    <t>to provide an in‐depth overview of original empirical studies conducted in the field of intellectual disability of young adults with intellectual disabilities, to describe key factors that facilitate social interaction, and to make recommendations for future research.</t>
  </si>
  <si>
    <t>PsycINFO, PubMed, ScienceDirect</t>
  </si>
  <si>
    <t>Jan, 2019</t>
  </si>
  <si>
    <t>UN Convention on Rights of People with Disability; Two persistent themes of how social inclusion has been studied (interpersonal relationships; community participation)</t>
  </si>
  <si>
    <t>D: qualitative, quantitative, longitudinal designs and/or intervention
studies
P: young adults with intellectual disabilities aged 18–30
I/O: social inclusion participation as it relates to developing interpersonal relationships and community engagement
Other: peer reviewed publication, January 2013 and January 2019, in English.</t>
  </si>
  <si>
    <t>no C clearly defined</t>
  </si>
  <si>
    <t>papers irrelevant to umbrella review due to: No intervention (8 studies), paediatric sample (4 studies), residential change study (1 study)</t>
  </si>
  <si>
    <t>Min: Q1: 18; Max Q3: 43</t>
  </si>
  <si>
    <t>sex not reported in most studies</t>
  </si>
  <si>
    <t>IrelandX1</t>
  </si>
  <si>
    <t>Romania X2</t>
  </si>
  <si>
    <t>USA X 5, Canada X 1</t>
  </si>
  <si>
    <t>SR of interventions to enhance social inclusion</t>
  </si>
  <si>
    <t>civic/rights; social media</t>
  </si>
  <si>
    <t>5 multiple baseline, 1 within group</t>
  </si>
  <si>
    <t>percent correct communication steps/tasks; understanding of civic rights; social skills (SSiS), ACCESS placement test</t>
  </si>
  <si>
    <t>positive effects in 6/7 studies measuring capacity</t>
  </si>
  <si>
    <t>social interactions; social validity of comm training; relationships formed; use of social media; social belonging</t>
  </si>
  <si>
    <t>positive effects in 4/4 studies measuring participation</t>
  </si>
  <si>
    <t xml:space="preserve">qualitative instrument to measure QoL </t>
  </si>
  <si>
    <t>QoL is associated with participatin as a citizen</t>
  </si>
  <si>
    <t>Methodological Quality Checklist (Downs &amp; Black, 1998)</t>
  </si>
  <si>
    <t>1</t>
  </si>
  <si>
    <t>1 study adequate quality, 2 good quality, 8 high quality</t>
  </si>
  <si>
    <t>RESPECT; European Union's Seventh Framework Programme, Grant/Award Number: PCOFUND‐GA‐2013‐608728</t>
  </si>
  <si>
    <t>Ma</t>
  </si>
  <si>
    <t>The Impact of Vocational Interventions on Vocational Outcomes, Quality of Life, and Community Integration in Adults with Childhood Onset Disabilities: A Systematic Review</t>
  </si>
  <si>
    <t>to evaluate the evidence for the efectiveness of interventions designed to alleviate subjective social isolation (including loneliness and perceived social support) and/or objective social isolation among people with mental health problems.</t>
  </si>
  <si>
    <t>Medline, Web of Science and PsycINFO</t>
  </si>
  <si>
    <t>jul, 2017</t>
  </si>
  <si>
    <t>P: MH condition, no age restriction
I: interventions designed to alleviate social isolation
C: CG receiving TAU, no Rx or wait-list, or a different Rx
O: subjective or objective social isolation
D: RCTs only</t>
  </si>
  <si>
    <t>P: primary diagnosis of ID, ASD, dementia, organic illness, substance use or physical health problem</t>
  </si>
  <si>
    <t>excluded 3 studies in paed samples</t>
  </si>
  <si>
    <t>Min: Q1: 17; Max Q3: 65</t>
  </si>
  <si>
    <t>Schizophrenia/psychosis; depression; social anxiety; personality disorder; PTSD; serious mental illness or heterogeneous MH conditions; phobia</t>
  </si>
  <si>
    <t>UK X 4,</t>
  </si>
  <si>
    <t>Netherlands X3, Sweden X2, Italy X1, Norway X1</t>
  </si>
  <si>
    <t>Israel X 3</t>
  </si>
  <si>
    <t>USA X 12</t>
  </si>
  <si>
    <t>China X2</t>
  </si>
  <si>
    <t>effectiveness of interventions designed to alleviate subjective social isolation (including loneliness and perceived social support) and/or objective social isolation among people with mental health problems. Interventions were primarily:
Clinical: Behavioural activation, narrative exposure therapy, cognitive therapy, psychoeducation
Social skills training
Supported socialisation</t>
  </si>
  <si>
    <t>Active CG: 7 studies
TAU CG: 9
Waitlist CG: 7 studies
two studies had multiple CGs</t>
  </si>
  <si>
    <t xml:space="preserve">loneliness and isolation (objective social isolation subscale of SSIAM (1 study; de Jong-Gierveld Loneliness Scale
UCLA loneliness scale, Causal Dimensions Scale, informational and emotional support subscales of Krause and Markindes instrument, abbreviated ISSI (social interaction))
social support and networks: (MSPSS; MOS-SSS, Social Provision Scale, ISEL (interpersonal support), Pattison's Social Network, family/social contacts/social network size, Oslo-3 Social Support Scale, Revised-Social Diary and Standardised interview Schedule, SFS socio-engagement and interpersonal-communication subscales, number of people in social life, social network schedule. 
</t>
  </si>
  <si>
    <t>Loneliness/ interactions: No effect in 5/5 studies
Social support/ networks: no effect 9/19 studies, positive effect 10/19 studies</t>
  </si>
  <si>
    <t>Cochrane Risk of Bias tool (Higgins 2011)</t>
  </si>
  <si>
    <t>21/27</t>
  </si>
  <si>
    <t>21 studies had high risk of bias on blinding and other sources of bias, and many of those had unclear ROB for three other domains</t>
  </si>
  <si>
    <t>Masi</t>
  </si>
  <si>
    <t>Meta-analysis of interventions to reduce loneliness</t>
  </si>
  <si>
    <t>goal of this meta-analysis is to provide the rigor called for by previous reviews and quantify the efficacy of the primary intervention strategies targeting loneliness</t>
  </si>
  <si>
    <t xml:space="preserve">PubMed and PsycINFO </t>
  </si>
  <si>
    <t>Sept, 2009</t>
  </si>
  <si>
    <t xml:space="preserve">evolutionary theory/function of loneliness, attachment theory, </t>
  </si>
  <si>
    <t>P: not defined
I: intervention specifically to lower loneliness
C: justified separately meta-analysing NR studies and RCTs with CG
O: measured loneliness quantitatively
D/S: English and in a peer-reviewed journal or doctoral dissertation</t>
  </si>
  <si>
    <t>excluded from meta-analysis if the intervention targeted depression, anxiety, stress relief, health behaviour, or if the intervention aimed to induce a state of loneliness.</t>
  </si>
  <si>
    <t>didn't really define C, but was open to all designs pre-post and cv CG</t>
  </si>
  <si>
    <t>7 paeds studies, and the remaining were not in samples with MH diagnoses or clinically elevated symptoms</t>
  </si>
  <si>
    <t>Mean min=20, max=76</t>
  </si>
  <si>
    <t>mostly depression, SMI, suicidal ideation, trauma</t>
  </si>
  <si>
    <t>USAX4, CanadaX1</t>
  </si>
  <si>
    <t>loneliness interventions: social recreation and information sessions/psychoeducation; social cognitive training X3; Buddy Care for Homosexuals; social support meetings (MH counselling?); socials support worker essentially like social prescribing</t>
  </si>
  <si>
    <t>loneliness</t>
  </si>
  <si>
    <t>could calculate pooled effect</t>
  </si>
  <si>
    <t>pre-post design: Significant reduction in 1/1
NRCT: Sig reduction in 1/3
RCTs: Sig reduction in 1/3</t>
  </si>
  <si>
    <t>National Institute on Aging Career Development Award K08 (AG027200, principal investigator C. M. Masi), a National Institute on Aging Award R01 (AG036433, principal investigator L. C. Hawkley), a National Institute on Aging Award R01 (AG034052, principal investigator J. T. Cacioppo) and a grant from the John D. Templeton Foundation (principal investigator J.T. Cacioppo)</t>
  </si>
  <si>
    <t>Maujean</t>
  </si>
  <si>
    <t>A Systematic Review of Randomized Controlled Trials of Animal-Assisted Therapy on Psychosocial Outcomes</t>
  </si>
  <si>
    <t>to evaluate the evidence for AAI since previous reviews (Nimer and Lundahl 2007), focusing only on highest level of evidence from RCTs and their effects on psychosocial outcomes</t>
  </si>
  <si>
    <t>PsycINFO, MEDlINE, PROQUESt, Scopus, Web of Science, and CINAHL</t>
  </si>
  <si>
    <t>S: original published journal articles that investigated 
O: psychological or social outcomes of AAIs
I: an aaI was provided and described as part of the study, and not a combination of therapies or pet ownership
D: the study design was a randomized controlled trial</t>
  </si>
  <si>
    <t>pet ownership that is not an AAI</t>
  </si>
  <si>
    <t>no comparator defined, no population defined</t>
  </si>
  <si>
    <t>two studies in children, one in non-palliative radiation therapy not relevant to our umbrella review</t>
  </si>
  <si>
    <t>psychiatric disorders, schizophrenia X 2, depression</t>
  </si>
  <si>
    <t>Animal-Assisted Therapy using farm animals X2 (cows, cattle, sheep, horses, cats, dogs, rabbits), dogs X 2</t>
  </si>
  <si>
    <t>TAUX2, waitlist X1, and one study included a psychological treatment with (IG) and without (CG) animals</t>
  </si>
  <si>
    <t>social support</t>
  </si>
  <si>
    <t>only reported other psychosocial effects</t>
  </si>
  <si>
    <t>social contact, QoL related to social relationships and social behaviour</t>
  </si>
  <si>
    <t>improvements in social contact and relationships, but significantly worse social behaviour in the IPT-dog group</t>
  </si>
  <si>
    <t>self-efficacy and self-determination</t>
  </si>
  <si>
    <t>canine and farm animal interventions had positive effects on self-efficacy; canine intervention had positive effect on self-determination</t>
  </si>
  <si>
    <t>anxiety, depression, positive and negative symptoms</t>
  </si>
  <si>
    <t>canine intervention reduced positive symptoms of schizophrenia; farm animal intervention reduced depression in both studies, and reduced anxiety in one study but not the other</t>
  </si>
  <si>
    <t>McCann</t>
  </si>
  <si>
    <t>People with intellectual disabilities, relationship and sex education programmes: A systematic review</t>
  </si>
  <si>
    <t>1. What are the views and experiences of people with ID regarding their participation in RSE programmes? 2. What is the perceived benefits of RSE programmes from the perspective of people with ID?</t>
  </si>
  <si>
    <t>PsycINFO, CINAHL, MEDLINE and Sociological Abstracts.</t>
  </si>
  <si>
    <t>WHO definition of sexuality; equality of access to appropriate healthcare and health education</t>
  </si>
  <si>
    <t>P: people w ID
Concept: experiences/views of RSE program
Context: RSE programs in schools, health and social care services 
D: qualitative, quantitative and mixed-methods approaches</t>
  </si>
  <si>
    <t>4 studies in paeds/school setting, one in peer educators and only outcome was that peer educators felt credible so not useful for feasibility</t>
  </si>
  <si>
    <t>sex not reported for the larger study of 60 ppl.</t>
  </si>
  <si>
    <t>severity not defined</t>
  </si>
  <si>
    <t>Ireland X2</t>
  </si>
  <si>
    <t>sex and relationship education</t>
  </si>
  <si>
    <t>knowledge, decision making, capacity to consent, safety practices, self-esteem</t>
  </si>
  <si>
    <t>improvements in all domains; one study highlighted the benefit of incorporating shared learning needs</t>
  </si>
  <si>
    <t>Critical Appraisal Skills Programme (2018)</t>
  </si>
  <si>
    <t>1/3</t>
  </si>
  <si>
    <t>Gardiner 2009 had N or CT for 7/10 domains; Dukes: 2/10, Garwood 2000: 4/10</t>
  </si>
  <si>
    <t>Morin</t>
  </si>
  <si>
    <t>Rehabilitation interventions to promote recovery from schizophrenia: A systematic review</t>
  </si>
  <si>
    <t>umbrella review</t>
  </si>
  <si>
    <t>to examine four treatments targeting effectiveness: cognitive remediation, psychoeducation, social skills training, and CT. Specific attention was paid to the functional effects of the treatments.</t>
  </si>
  <si>
    <t>only use to supplement the social skills training literature</t>
  </si>
  <si>
    <t>PubMed, ScienceDirect, and Google 
Scholar</t>
  </si>
  <si>
    <t xml:space="preserve">Social skill training is generally based on learning theory, and behavioral therapy principles and techniques for teaching individuals to communicate their emotions and requests so that they are more likely to achieve their goals and meet their needs </t>
  </si>
  <si>
    <t>P: adults with schizophrenia or schizophrenia spectrum disorder
I: cognitive remediation, psychoeducation, and cognitive-behavioral therapies
C: not defined
D: Since the literature on this subject is very abundant, we only selected review articles and meta-analyses
S: peer-reviewed articles</t>
  </si>
  <si>
    <t>reviews that were too specific or included heterogeneous samples</t>
  </si>
  <si>
    <t>very poorly written inclusion criteria. Appears as if they made it up as they went along!</t>
  </si>
  <si>
    <t>11?</t>
  </si>
  <si>
    <t>only included reviews of social skills training interventions. It appears that these are citations 61 to 72, but there is no table of the included studies to confirm.</t>
  </si>
  <si>
    <t>no clear demographic characteristics of the studies/reviews provided</t>
  </si>
  <si>
    <t>schizophrenia/ schizophrenia spectrum disorders</t>
  </si>
  <si>
    <t>psychosocial interventions for schizophrenia: psychoeducation, cognitive remediation, social skill training, family psychoeducation, cognitive therapy</t>
  </si>
  <si>
    <t>social skills</t>
  </si>
  <si>
    <t>social skills acquisition (ES = 0.77; Pfammater)
behavioural skills (benefit, Bellack)
life skills programs (teaching skills in budgeting, 
communication, domestic living, personal self-care, and community living) compared to standard care may improve the social skills of people with schizophrenia and reduce relapse rates but the evidence is limited to low quality studies</t>
  </si>
  <si>
    <t xml:space="preserve"> social role functioning</t>
  </si>
  <si>
    <t>social functioning (ES = 0.39, Pfammatter; ES=0.52, Kurtz)
social role functioning (benefit, Bellack)</t>
  </si>
  <si>
    <t>negative symptoms, relapse, hospitalisation</t>
  </si>
  <si>
    <t xml:space="preserve">
symptom reduction/relapse (ns, Bellack)
negative symptoms (ES = 0.40, Kurtz)
reduced hospitalization rates at 1- to 2-years (ES = 0.48 to 0.52, Kurtz)
social skills training was associated with an improvement in negative symptoms (refs 67 &amp; 68)</t>
  </si>
  <si>
    <t>overall appraisal taken from the primary study descriptions where provided within the paper</t>
  </si>
  <si>
    <t>the Regional Health Agencies (ARS) of Auvergne-Rhône-Alpes and Nouvelle_x0002_Aquitaine for financing the 5 existing referent centers and the resource center.</t>
  </si>
  <si>
    <t>Naslund</t>
  </si>
  <si>
    <t>Emerging mHealth and eHealth interventions for serious mental illness: A review of the literature</t>
  </si>
  <si>
    <t>to explore the use of remotely-delivered mHealth and eHealth interventions among individuals with SMI for broad application, including symptom monitor_x0002_ing and assessment, promoting illness self-management, delivering psychoeducation, and supporting positive health behavior change.</t>
  </si>
  <si>
    <t>6/46 papers had social component to the intervention and outcomes, just extract for those studies</t>
  </si>
  <si>
    <t>MEDLINE, PsychINFO, CINAHL, Scopus, Cochrane Central, and Web of Science</t>
  </si>
  <si>
    <t>Jul, 2014</t>
  </si>
  <si>
    <t>P: ppl with SMI (schizophrenia, schizoaffective disorder, psychosis or bipolar disorder), could be diagnosed or self-reported. Minimum of 10 participants.
I: mHealth or eHealth technology based intervention delivered remotely, which includes  remote monitoring, online interventions such as forums or internet support groups, mobile phone-based interventions such as smartphone applications, personal digital assistants (PDA), or SMS interventions, and other remotely-delivered devices for monitoring or tracking health-related outcomes.
C/D: all study designs eligible
O: feasibility, acceptability, safety, usability, efficacy and effectiveness.</t>
  </si>
  <si>
    <t>Clinician-led interventions were excluded because we were interested in the feasibility and acceptability of remote interventions that do not rely on costly providers. Therefore, we excluded telepsychiatry interventions (e.g. consultation over the phone, videoconference), faceto-face interventions delivered in clinical or research settings, in-person interventions delivered by mental health providers, or interventions supervised by a clinician or researcher. 
Design studies, research protocols, theoretical articles, and discussion articles were also excluded.</t>
  </si>
  <si>
    <t>essentially PICO, but didn't explicitly say which comparator types were eligible</t>
  </si>
  <si>
    <t>the studies not included did not measure SCC capacity/participation (most focused on symptoms, adherence to treatment/ programs etc)</t>
  </si>
  <si>
    <t>schizophrenia/schizoaffective disorder X 4, FEP/mood disorderX1, bipolar disorder X1</t>
  </si>
  <si>
    <t>Netherlands X1</t>
  </si>
  <si>
    <t>USAX3</t>
  </si>
  <si>
    <t>mHealth/eHealth interventions primarily focused on symptom management, medication adherence, but some included a focus on social functioning</t>
  </si>
  <si>
    <t>e-health/m-health</t>
  </si>
  <si>
    <t>within group; alternative active intervention; waitlist X2; education only</t>
  </si>
  <si>
    <t>parenting skills</t>
  </si>
  <si>
    <t>social interactions, social support</t>
  </si>
  <si>
    <t>only two studies: one showed positive impact on social interactions, the other showed no impact on social support</t>
  </si>
  <si>
    <t>adherence/acceptability of peer support; perceptions of stigma</t>
  </si>
  <si>
    <t>reductions in perceived stigma, high adherence to peer support, and higher adherence to intervention if there was peer support</t>
  </si>
  <si>
    <t>hallucination severity, depression, distress, anxiety/depression</t>
  </si>
  <si>
    <t>reduction in hallucinations (one study); reduction in depression (one uncontrolled study), but no group differences in anxiety/depression in an RCT; higher distress in peer support recipients (one RCT)</t>
  </si>
  <si>
    <t>not used b/c many were pilot/small samples and lacked control groups, so assumed that the quality was limited/low</t>
  </si>
  <si>
    <t>United States Centers for
Disease Control Health Promotion and Disease Prevention Research Center (Grant number: CDC U48DP005018) and a grant from the National Institute of Mental Health (Grant number: NIMH R01 MH104555)</t>
  </si>
  <si>
    <t>Newlin</t>
  </si>
  <si>
    <t>Social participation interventions for adults with mental health problems: a review and narrative synthesis</t>
  </si>
  <si>
    <t>Did not extract as all but two papers were in Webber 2017, and the papers not incl in that SR were a residential program for homeless people (ineligible) and a leisure program for ppl w ABI (ineligible). Some of the data extraction is better than Webber, though.</t>
  </si>
  <si>
    <t>printed</t>
  </si>
  <si>
    <t>Social Participation Interventions</t>
  </si>
  <si>
    <t>y</t>
  </si>
  <si>
    <t>Nguyen</t>
  </si>
  <si>
    <t>Understanding the essential components and experiences of youth with autism spectrum disorders in peer mentorship programmes during the transition to adulthood: A qualitative meta‐ethnography</t>
  </si>
  <si>
    <t>1. What are the essential components of PM programmes for youngadults (ages 16 to 25) with ASD in post-secondary transition?2. What are the experiences of young adults (ages 16 to 25) withASD in PM programmes during post-secondary transition?</t>
  </si>
  <si>
    <t>PsycINFO, Cumulative Index of Nursing andAllied Health Literature (CINAHL), Sociological Abstracts, EducationResources Information Center (ERIC), EMBASE, Web of Science, MEDLINE (Ovid)</t>
  </si>
  <si>
    <t>theoretical frameworks about child development can be applied to better understand PM programmes as
an environment for youth with ASD. Bronfenbrenner's ecological systems theory, for example, can help to identify systems that a youth with ASD can be situated in and his or her relationship within that system (Bronfenbrenner, 1992).
The life course approach also highlights how there should be a ‘fit’ between the youth and the environment (Halfon &amp; Hochstein, 2002; Palisano et al., 2017).</t>
  </si>
  <si>
    <t>O: findings focused on the experiences of the peer mentor relationship as well as the training components involved in PM programmes; S: empirical qualitative studies or mixed methods studies with qualitative components 
S: published in peer reviewed journals</t>
  </si>
  <si>
    <t>(a) had a nonqualitative design, such as editorial comments and narrative literature reviews; (b) did not have direct quotes or (c) were thesis dissertations.</t>
  </si>
  <si>
    <t>Didn't actually define the I (or C)!</t>
  </si>
  <si>
    <t>Q1 min: 17, Q3 max: 30</t>
  </si>
  <si>
    <t>includes mentors and mentees</t>
  </si>
  <si>
    <t>ASD severity/diagnosis not reported</t>
  </si>
  <si>
    <t>UK X 1</t>
  </si>
  <si>
    <t>USA X 4, Canada X2</t>
  </si>
  <si>
    <t>peer mentoring transition programs in college/university setting</t>
  </si>
  <si>
    <t>younger adult</t>
  </si>
  <si>
    <t>academic and social skills</t>
  </si>
  <si>
    <t>only described positive outcomes in themes</t>
  </si>
  <si>
    <t>fostering relationships for mentors and mentees; making connections, friends; forming relationships with people with and without disabilities</t>
  </si>
  <si>
    <t>e Mixed Methods Appraisal Tool (MMAT)</t>
  </si>
  <si>
    <t>5/10</t>
  </si>
  <si>
    <t>Appears that most studies had adequate/high quality, but the reporting is incomplete and unclear, and not summarised in detail in text (only in Supplementary)</t>
  </si>
  <si>
    <t>Pallathra</t>
  </si>
  <si>
    <t>Psychosocial Interventions Targeting Social Functioning in Adults on the Autism Spectrum: a Literature Review</t>
  </si>
  <si>
    <t>To determine the number of interventions tergeting social functioning, quality of studies, and opportunities for adults to generalise/apply knowledge and skills in the everyday lives in the community</t>
  </si>
  <si>
    <t>PsycINFO, PubMed, and EMBASE on OVID</t>
  </si>
  <si>
    <t>D: peer reviewed, published in English since 1980
P: aged &gt;16 year with 50% aged 18y+; at least 50% had ASD diagnosis without ID
I: psychosocial or behaviour intervention aimed at improving social functioning
O: skills, understanding or affective state related to social functioning</t>
  </si>
  <si>
    <t>I: descriptive studies</t>
  </si>
  <si>
    <t>high functioning ASD</t>
  </si>
  <si>
    <t>Psychosocial Interventions Targeting Social Functioning (social skills, social cognition, social anxiety), including:
PEERS-YA (3 studies); STAART (1 study); Supported Employment, Comprehensive Cognitive Enhancement, and Social Skills (SUCCESS, 1 study); Aspirations (2 studies), CBT (4 studies), mindfulness (2 studies), JobTIPS (1 study), Interview Skills Curriculum (1 study); Think Well, Feel Well and Be Well (1 study); VR jobs/social skill training (3 studies); Social Cognition and Interaction training for HFA Adults (1 study); dance-based training (2 studies), Cognitive Enhancement Therapy (2 studies), tansition "camp campus" program (1 study); workplace adaptation program (1 study)</t>
  </si>
  <si>
    <t xml:space="preserve">The control group types are not clear as not defined in Table </t>
  </si>
  <si>
    <t>12 studies targeted social cognition (specific measures not extracted), 17 targeted social skills and 6 targeted social anxiety.</t>
  </si>
  <si>
    <t>results only in text so difficult to summarise specific effects, but the vast majority had positive effects on social cognition, conversation skills, and other social skills</t>
  </si>
  <si>
    <t>RCT and quasi articles was assessed using published methodological rating scales as described in Kasari et al. [23], which includes intervention description, measurement, attrition and analyses.
Quasi articles were also rated using a scale by Gersten and colleagues [23, 24] that assesses 18 “essential” and
“desirable” quality indicators (related to description of participants, implementation of intervention, validity of outcome measures, and data analysis
NCE articles were rated using a scale that Sackett and colleagues developed to determine the effectiveness of medical interventions [25] based on the quality of the evidence provided.</t>
  </si>
  <si>
    <t>32</t>
  </si>
  <si>
    <t>NIMH (R34MH104407).</t>
  </si>
  <si>
    <t>Palmen</t>
  </si>
  <si>
    <t>A systematic review of behavioral intervention research on adaptive skill building in high-functioning young adults with autism spectrum disorder</t>
  </si>
  <si>
    <t>to systematically examine the state of research on behavioral interventions in improving adaptive behavior in young adults with high-functioning ASD in order to (a) evaluate research areas, techniques, and outcome measures and to (b) identify limitations and promising areas in need of future research.</t>
  </si>
  <si>
    <t>ERIC, PsycINFO, PubMed, and Web of Science.</t>
  </si>
  <si>
    <t>Aug, 2010</t>
  </si>
  <si>
    <t>P: 16years+ diagnosed with ASD w full scale IQ or verbal IQ &gt;=70
I: procedural components based on applied behavioural analysis (ABA) or CBT in nature
C: not defined
O: adaptive skill related to social interactions or daily living
D: systematic data collection proceudres with at least two data points</t>
  </si>
  <si>
    <t>anecdotal data, results that are presented only at group level if participants had IQ below eligibility criterion, if they targeted only cognitive skill or overall competence.</t>
  </si>
  <si>
    <t>no C clearly defined, or publication type</t>
  </si>
  <si>
    <t>10 excluded b/c they were in paeds, 1 excluded based on intervention target.</t>
  </si>
  <si>
    <t>behavioral intervention research on adaptive skill building</t>
  </si>
  <si>
    <t>control group condition not described</t>
  </si>
  <si>
    <t xml:space="preserve">social/interpersonal skill mastery, conversation skill mastery, </t>
  </si>
  <si>
    <t>positive gains in 8/9 studies</t>
  </si>
  <si>
    <t>certainty of evidence hierarchy described by Lang, Regester, Lauderdale, Ashbaugh, and Haring (2010), Ramdoss, Lang, et al. (2011), and Ramdoss, Mulloy, et al. (2011) was used in which studies are rated as either ‘conclusive’, ‘preponderant’, or ‘suggestive’ in their quality of evidence</t>
  </si>
  <si>
    <t>6/9</t>
  </si>
  <si>
    <t>2 studies conclusive evidence, 1 study preponderant evidence and 6 studies with suggestive evidence</t>
  </si>
  <si>
    <t>Pescheny</t>
  </si>
  <si>
    <t>The impact of social prescribing services on service users: a systematic review of the evidence</t>
  </si>
  <si>
    <t>To collect and synthesize evidence on the impact of SP services based on general practice and involving a navigator on service users, to inform policy, practice, and future research in this field.</t>
  </si>
  <si>
    <t>CINAHL, Medline, PsycInfo, SocIndex, SportDiscuss, Web of Science, British Nursing Index, ASSIA, HMIC, University of York for reviews and dissemination (HTA, DARE, NHS EED), Cochrane Library; grey literature (Google, Google Scholar, OpenGrey)</t>
  </si>
  <si>
    <t>P: not defined, but upon checking included studies all provide interventions to people who are socioeconomically vulnerable/ isolated and the vast majority have mental health issues (but don't clearly report what these are)
I: assessed SP programmes, activities or interventions, usually based on a primary care setting in the UK, in which primary care staff refers patients to a navigator.
C: not defined
O: any service user outcome</t>
  </si>
  <si>
    <t>no P or C defined in design</t>
  </si>
  <si>
    <t>no sample characteristics extracted/reported</t>
  </si>
  <si>
    <t>specific conditions not consistently reported in SR (and not obvious after checking individual studies/reports), but often incl chronic depression/ anxiety</t>
  </si>
  <si>
    <t>UK X 16</t>
  </si>
  <si>
    <t>People attending primary care services are identified as being socially isolated, vulernable and usually living with chronic health conditions (nearly always including mental health issues). Most programs involve referall to the social prescriber navigator, assessment of goals and needs, and referrals to activities, organisations and community groups to meet individual wellbeing goals.</t>
  </si>
  <si>
    <t>clinical b/c all required referal from primary care setting</t>
  </si>
  <si>
    <t>comparison groups not described</t>
  </si>
  <si>
    <t xml:space="preserve">Social interactions: social isolation, loneliness, free time activities and engagement in the community, opportunities for activities, established social links/friendships, sense of belonging, group cohesion; opportunities to learn new skills (e.g., art, singing, playing sport). </t>
  </si>
  <si>
    <t xml:space="preserve">Most findings appear to be from the mixed methods/qual evaluations; No significant changes in the RCT and pre-post study on loneliness and social interactions/activities </t>
  </si>
  <si>
    <t>self-confidence, self-esteem, self-value.</t>
  </si>
  <si>
    <t>One service user reported feeling less confident b/c they didn't experience health benefits</t>
  </si>
  <si>
    <t>Various measures  of depression, anxiety, general health.</t>
  </si>
  <si>
    <t>qual studies consistently reported positive impacts, but quant studies had mixed results. Significant improvements in MH symptoms in three studies, but not in two other studies.</t>
  </si>
  <si>
    <t>Mixed Methods Appraisal Tool
Version 2011 (MMAT-V 2011)</t>
  </si>
  <si>
    <t>12</t>
  </si>
  <si>
    <t>5 studies met 1/4 criteria, 7 met 2/4 criteria and 4 met 3/4 criteria</t>
  </si>
  <si>
    <t>funded by the Luton Borough Council.</t>
  </si>
  <si>
    <t>Petroutsou, Alexandra</t>
  </si>
  <si>
    <t>Loneliness in people with intellectual and developmental disorders across the lifespan: A systematic review of prevalence and interventions</t>
  </si>
  <si>
    <t>Objective 2: to identify whether interventions targeting loneliness in youth and adults with IDD are effective.</t>
  </si>
  <si>
    <t>Note: only 1 study included, which was already in Bigby 2018</t>
  </si>
  <si>
    <t>Web of Science, PsycINFO, Pubmed, ERIC, EMBASE</t>
  </si>
  <si>
    <t>conceptualisation of loneliness as: painful, perception that social needs are not being met, multidimensional with social and emotional dimensions.</t>
  </si>
  <si>
    <t>P: people w IDD, LD etc. 
I/C: interventions that aimed to decrease loneliness, no restrictions on components, duration, format or setting
O: loneliness
S: RCTs, quasi-RCTs, case studies
Other: English, peer reviewed</t>
  </si>
  <si>
    <t>Only 1 intervention study included</t>
  </si>
  <si>
    <t>a range of diagnoses, mild-mod ID</t>
  </si>
  <si>
    <t>loneliness intervention - only one identified (Stancliffe 2015)</t>
  </si>
  <si>
    <t>continuing in work/day program (TAU)</t>
  </si>
  <si>
    <t>loneliness; community group participation</t>
  </si>
  <si>
    <t>positive impact on community group participation, social contacts and time spent with new social contacts post-study. No reduction in loneliness</t>
  </si>
  <si>
    <t>Quality Assessment Tool for Quantitative Studies (EPHPP, 2009)</t>
  </si>
  <si>
    <t>weak quality for the one intervention study</t>
  </si>
  <si>
    <t>Puolakka</t>
  </si>
  <si>
    <t>Effectiveness of psychosocial interventions on quality of life of patients with schizophrenia and related disorders: A systematic review</t>
  </si>
  <si>
    <t>to synthesize the best available evidence on the effectiveness of four psychosocial interventions (family intervention, psychoeducation, social skills training, supported em_x0002_ployment) on the QoL of patients with schizophrenia and related dis_x0002_orders</t>
  </si>
  <si>
    <t>CINAHL, Cochrane Library, MEDLINE, PsycArticles and PsycINFO</t>
  </si>
  <si>
    <t>May, 2018</t>
  </si>
  <si>
    <t>P: majority of participants had a diagnosis of schizophrenia (F21) or a related disorder (F21-F29) based on the ICD-10, majority of participants were adults (18 years or over);
I: psychosocial interventions, incl family interventions, psychoeducation or patient education, social skills training and vocational rehabilitation in line with practice guidelines for the treatment of patients with schizophrenia. Individual and group-based interventions were accepted. The providers of interventions included nurses, physicians, psychologists, social workers or other allied health providers. 
C: any other psychosocial intervention or treatment as usual (TAU) defined as the care a person would normally receive if they would not have been included in the research.
O: standardized, valid and reliable QoL as primary or secondary outcome measure.
S: Randomized controlled trials (RCTs) only (not justified/explained)</t>
  </si>
  <si>
    <t>Excluded studies that included chosen interventions only as one element of comprehensive treatment programme because it is not possible to disentangle the effects of some individual treatment intervention from other treatment components. 
NOT IN METHODS: but in results, excluded two papers based on methodological quality.</t>
  </si>
  <si>
    <t>M: 24.9-51.2</t>
  </si>
  <si>
    <t>schizophrenia/schizo-affective disorder X10, psychotic disorder X2</t>
  </si>
  <si>
    <t>UKX1</t>
  </si>
  <si>
    <t>SpainX2, FinlandX2</t>
  </si>
  <si>
    <t>Brazil X1</t>
  </si>
  <si>
    <t>Vietnam</t>
  </si>
  <si>
    <t>four types of psychosocial interventions (family intervention, psychoeducation, social skills training, supported employment)</t>
  </si>
  <si>
    <t>vocation, QoL focused interventions</t>
  </si>
  <si>
    <t>standard care/TAU, less intensive treatment, waitlist</t>
  </si>
  <si>
    <t>none extracted in this review, but likely there were some social skills outcomes</t>
  </si>
  <si>
    <t>Interpersonal relations subscale of Quality of Life Scale (QLS) (h</t>
  </si>
  <si>
    <t>only specified a "participation" element of QoL in 1/12 studies</t>
  </si>
  <si>
    <t>Quality of Life Scale; Quality of Life, Enjoyment and Satisfaction Questionnaire (Q-LES-Q); 15D; Psychological General WellBeing Scale (PGWB); Schizophrenia Quality of Life Scale Revision 4 (SQLS-R4); Quality of Wellbeing Scale (QWB), SF36.</t>
  </si>
  <si>
    <t>All studies: no effect in 67% of studies
Family interventions: +ve effect in 2 studies, no effect in 1 study
Psychoeducation: +ve effect in 1 study, no effect in 7 studies
Vocation intervention: +ve effect in 1 study.</t>
  </si>
  <si>
    <t>Joanna Briggs Institute's Standardized Critical Appraisal
Instruments (MAStARI)</t>
  </si>
  <si>
    <t>all studies were classified as having good or moderate quality</t>
  </si>
  <si>
    <t>Quirk</t>
  </si>
  <si>
    <t>Understanding the experience of initiating community-based group physical activity by people with serious mental illness: A systematic review using a meta-ethnographic approach</t>
  </si>
  <si>
    <t>Systematically search and appraise qualitative research on the experience of initiating community-based group PA for adults living with SMI; Synthesize findings from existing research regarding the experience of initiating community-based group PA and key features of social support within these contexts for people living with SMI; Identify from participants’ experiences the active ingredients that could inform future interventions to improve uptake of community-based group PA among people living with SMI.</t>
  </si>
  <si>
    <t>ASSIA (ProQuest), CINAHL (EBSCO), Cochrane Central Register of Controlled Trials
(Wiley), Health Technology Assessment Database (Wiley), MEDLINE (EBSCO), PsycINFO (ProQuest), Sociological Abstracts (ProQuest), SportDiscus (EBSCO), and Web of Science (Thomson Reuters, now Clarivate).</t>
  </si>
  <si>
    <t>Mental Health Action Plan: provision of MH services integrated in communities for services uers and facmilies.</t>
  </si>
  <si>
    <t>P: adults &gt;=18 yeras living with SMI as a primary diagnosis (schizophrenia, bipolar affective disorder, major depressive disorder, personality disorder, severe anxiety (including phobia and obsessive–compulsive disorder), schizophreniform disorder, or psychosis
I: community-based group PA, comprising &gt;=3 people to be a group. For multicomponent interventions, physical activity had to be a main component
C: no comparator condition requird
O:  qual data from the perspective of the par_x0002_ticipant living with SMI reporting the experience of initiating community-based group PA.
S: community</t>
  </si>
  <si>
    <t>limited demographics available</t>
  </si>
  <si>
    <t xml:space="preserve">Schizophrenia/ psychosis, SMI, BPD, PTSD, </t>
  </si>
  <si>
    <t>UK X9</t>
  </si>
  <si>
    <t>SwedenX1</t>
  </si>
  <si>
    <t>USAX3, CanadaX1</t>
  </si>
  <si>
    <t>community-based group physical activity (horseriding; walking/running/gardening/gym-based exercise etc.; sport; various; aquatic leisure/swimming; yoga; men-only football ACTIVE program; physical activity programs in the community; lifestyle intervention; diet/exercise intervention)</t>
  </si>
  <si>
    <t>qual themes</t>
  </si>
  <si>
    <t xml:space="preserve">1.	Underlying Influences Impacting upon the Initiation of PA: 
a.	SMI characteristics, feeling “well enough”, body image, fatigue, self-esteem, powerlessness, and symptom fluctuations.
b.	medication side-effects, which contribute to fatigue, tiredness, weight gain. Important to get medication right before initiating activity.
2.	Thinking about being active
a.	Thoughts and beliefs about group setting, feeling isolated/vulnerable make initiation difficult, social anxiety and apprehension around strangers
b.	Expected outcomes of being more active: need to be meaningful to individual and outweigh potential negative side-effects. Positive outcomes incl controlling symptoms, health improvement, accessing clinical/prof support, opportunity to talk with others with similar experience, seeing/making friends, a reason to get out of the house, weight control. Negative outcomes incl. feeling vulnerable/insecure, stigma/embarrassment, problems with being controlled/coached by others, having to interact with others, social anxiety/panic, aches, pains, sweating
c.	Positive encouragement and information support: social support/encouragement.
d.	Past experience of physical activity: positive prior experiences help influence decision to take part
3.	Planning and preparing for the physical activity
a.	Thoughts about specific activity, expected benefits and how desirable it is
b.	Thoughts about cost and location, and how suitable they believe it is for “people like us”
c.	Thoughts about who will be there: how they will feel in the company of others and whether they can relate to others
4.	Getting to the activity
a.	Physical dependency on others to get there, need for reminders, transport help, costs, accompaniment. Often support comes from staff, but also from friends/family
b.	Barriers influencing ability to get there: personal responsibilities/commitments (e.g., family life, childcare), fears and concerns
5.	Beginning the activity
a.	Socialisation and group influence: engaging with other people (participants and staff), sharing the experience with others generates mutual understanding and non-judgemental atmosphere, but not for everyone.
b.	Accessibility and scheduling flexibility: tailoring to ability and age, sense of control of participation level, flexibility around other commitments and relapses
c.	Immediate benefits of participating: immediate feelings/perceived benefits are important for ongoing participation, incl mood enhancement, sense of freedom, relaxation, sense of achievement, and self-appreciation. Apprehension or social anxiety can also occur in group-based PA.
</t>
  </si>
  <si>
    <t>barriers/facilitators/experiences</t>
  </si>
  <si>
    <t>Critical Appraisal Skills Program (CASP) Qualitative Checklist [24] and Confidence in the Evidence from Reviews of Qualitative Research (CERQual)</t>
  </si>
  <si>
    <t>in supplement - the methods were judged appropriate in all studies</t>
  </si>
  <si>
    <t>There was moderate confidence in most findings</t>
  </si>
  <si>
    <t xml:space="preserve">Sheffield Health and Social Care NHS Foundation Trust (UK). </t>
  </si>
  <si>
    <t>M.H. is employed by the funder, Sheffield Health and Social Care NHS Foundation Trust.</t>
  </si>
  <si>
    <t>Ratti</t>
  </si>
  <si>
    <t>The effectiveness of person-centred planning for people with intellectual disabilities: A systematic review</t>
  </si>
  <si>
    <t>(a) to provide an updated review of status of research concerning the effectiveness of PCP on outcomes for people with ID, (b) to determine whether PCP and its components are effective on improving outcomes for
people with ID, (c) to determine what outcomes are most likely to be affected by PCP, (d) to identify directions for future research.</t>
  </si>
  <si>
    <t>PsycInfo, Embase, CINHAL, PubMed, Web of Science, Scopus and Medline</t>
  </si>
  <si>
    <t>May, 2014</t>
  </si>
  <si>
    <t>P: if all participants had ID or IQ &lt;70.
D: primary aim to evaluate the effects of PCP on outcomes for ppl w ID us ing qual or quant methods, incl. retrospective case-note and prospective studies. 
I: No studies were excluded on the basis of the country or setting in which PCP took place. Settings varied from
group homes in the community to in-patient settings, and all were considered.
O: QoL, life satisfaction; Choice, Self-Determination; Participation in activities;  Inclusion.
Other: All studies found using English search terms irrespective of publication source were considered.</t>
  </si>
  <si>
    <t>D: Studies were excluded if they evaluated the implementation or processes of PCP but reported no data on the impact of PCP on individuals; if studies only reported process variables such as improved knowledge following training, these were excluded. Studies were also excluded if the main aim of the study was the evaluation of a combination of approaches (e.g. PCP and Positive Behaviour Support). We excluded studies which were purely descriptive and those
which reported outcomes of author defined traditional planning approaches such as Individual Personal Planning and
Individual Habilitation. No studies were excluded based on the number of participants.</t>
  </si>
  <si>
    <t>mixed methods studies all in children were not included</t>
  </si>
  <si>
    <t>several studies did not report gender/sex or age</t>
  </si>
  <si>
    <t>ASD included in 1 study</t>
  </si>
  <si>
    <t>Most do not disclose severity, but those that do primarily included people with moderate-severe ID</t>
  </si>
  <si>
    <t>One study included ppl with secondary PD</t>
  </si>
  <si>
    <t>UK X2</t>
  </si>
  <si>
    <t>USA X 2, Canada X 1</t>
  </si>
  <si>
    <t>NZ</t>
  </si>
  <si>
    <t>person-centred planning</t>
  </si>
  <si>
    <t>PCP model vs "traditional model" (1 study, Magito-McLaughlin); pre-post with no control</t>
  </si>
  <si>
    <t>Community participation: community location attendance/participation; inclusive environments; participation in activities; Index of Community Involvement (ICI), [3/3 had sig-mod effect]
Social networks/relationships: Social Network Map. [2/5 mod-marked effect]</t>
  </si>
  <si>
    <t>(scores ranged from 1=no effect, 2=minimal effect, 3=moderate effect, 4= significant effect, 5=marked effect)</t>
  </si>
  <si>
    <t>QoL in qualitative studies</t>
  </si>
  <si>
    <t>not mentioned in all studies</t>
  </si>
  <si>
    <t>self-determination, choice, life satisfaction, participation in activities, behaviour, adaptive functioning.</t>
  </si>
  <si>
    <t>not extracted at present in interest of time</t>
  </si>
  <si>
    <t>Quant studies: Criteria developed by Downs and Black (1998)
Qual studies: criteria adapted from two different papers by Mays and Pope (2000) and Tong, Sainsbury, and Craig (2007)</t>
  </si>
  <si>
    <t>3/6</t>
  </si>
  <si>
    <t>Roche</t>
  </si>
  <si>
    <t>Promoting Health and Well-Being through Social Inclusion in Toronto: A Scoping Review of Literature Reviews of Interventions to Promote Social Inclusion</t>
  </si>
  <si>
    <t>our intent was to capture or document a broader spectrum of interventions to promote social inclusion.</t>
  </si>
  <si>
    <t>scoping review of reviews</t>
  </si>
  <si>
    <t xml:space="preserve"> Scopus, Scholars Portal and PubMed</t>
  </si>
  <si>
    <t>social inclusion as a dynamic construct associated with social connectedness, social capital and civic engagement and social participation</t>
  </si>
  <si>
    <t>P: any population
Concept: Any intervention that included an explicit social inclusion construct (social connectedness, social capital and civic engagement and social participation)
Context: Canada, USA, Europe, Australia or New Zealand
S: published 2000-2015, systematic reviews, scoping reviews, narrative reviews</t>
  </si>
  <si>
    <t>3 reviews focused on paeds/adolescents and 1 was not specific to disability</t>
  </si>
  <si>
    <t>adults living with mental health problems</t>
  </si>
  <si>
    <t>interventions focused on social inclusion</t>
  </si>
  <si>
    <t>Voluntary work; Men's sheds; asset-based approach; goal setting</t>
  </si>
  <si>
    <t>meaningful participation, mentoring, feelings of/actual connectedness, social engagement</t>
  </si>
  <si>
    <t>Benefits for all intervention types except little benefit from voluntary work on social inclusion (barriers incl. perceived prejudice and stigma)</t>
  </si>
  <si>
    <t>wellbeing, quality of life</t>
  </si>
  <si>
    <t>benefits from asset-based approach, peer support, social skills (although QoL not sustained at 12m), Men's sheds and community/ voluntary resource sector referrals
Little benefit from voluntary work for social inclusion - barriers incl. perceived prejudice and stigma</t>
  </si>
  <si>
    <t>only reported in asset based interventions</t>
  </si>
  <si>
    <t>only reported in relation to social skills interventions</t>
  </si>
  <si>
    <t>Sala</t>
  </si>
  <si>
    <t>Autism and Intellectual Disability: A Systematic Review of Sexuality and Relationship Education</t>
  </si>
  <si>
    <t xml:space="preserve"> to address the following questions regarding Autism and intellectual disability: (A) What are the interventions currently ofered to provide SRE to individuals with these diagnoses? (B) In these interventions, what content relating to SRE was covered? (C) How efective were these interventions in increasing participants’ knowledge and behavior relating to sexuality and intimacy? (D) What methods of program delivery were used? (E) What are the limitations of current programs? The quality of the included studies was assessed regarding design and efcacy, content, strengths and limi_x0002_tations, extending on previous reviews by Blanchett and Wolfe [31] and Schaafsma et al.  [32].
</t>
  </si>
  <si>
    <t>PsycINFO, MEDLINE Complete, ERIC, CINAHL Complete, Embase</t>
  </si>
  <si>
    <t>Mar, 2018</t>
  </si>
  <si>
    <t>S: study published in English, peer-reviewed journal; 
P: participants identifed as having formal diagnosis of ASD, ID, ADHD, ABI or DS; 
I: intervention predominantly focused on sexual education and/or intimacy skills; that is, biological aspects (e.g., puberty, 
contraception), and/or broader aspects of sexuality and relationships (e.g., sexual orientation, safety, relationships, dating skills, privacy)
I/O: intervention delivered and evaluated knowledge and/or behavior using quantitative outcome measures conducted pre- and post-intervention</t>
  </si>
  <si>
    <t xml:space="preserve"> studies that were: 1) part of a thesis or dissertation; (2) intervention focused on correcting problematic sexual behavior (3) intervention only focused on one  aspect of sexual health (e.g., teaching menstrual hygiene); (4) intervention focused broadly on social skills without emphasis on sexuality and intimacy; (5) published pre-1980.</t>
  </si>
  <si>
    <t>6 paeds studies not relevant. Note that the PRISMA indicates 33 studies were included, but the tables only show 30.</t>
  </si>
  <si>
    <t>estimated males/female from all pooled studies.</t>
  </si>
  <si>
    <t>5 studies included participants with ASD, 3 of whom also had ID</t>
  </si>
  <si>
    <t>19 studies included participants with ID; diagnosis/severity not reported</t>
  </si>
  <si>
    <t>Sexuality and Relationship Education interventions</t>
  </si>
  <si>
    <t>waitlist control; active control (traditional problems solving), active placebo (relaxation training)</t>
  </si>
  <si>
    <t xml:space="preserve">knowledge, social skills, safety behaviours (e.g., birth control use, sexual abuse prevention), inappropriate behaviours, </t>
  </si>
  <si>
    <t>K: 12/12 improvement
S(afe behaviours: 4/5 improvement, 1/5 no improvement
Social skills: 7/7 improvement
Attitudes: 2/2 improvement
Inappropriate behaviours: 1/3 improvement, 2/3 no improvement</t>
  </si>
  <si>
    <t>social functioning (SRS-2)</t>
  </si>
  <si>
    <t>positive effects in 2/2 studies measuring social function</t>
  </si>
  <si>
    <t>Quality Assessment Tool for Quantitative Studies, developed in the Efective Public Health  Practice Project [38]</t>
  </si>
  <si>
    <t>23/24</t>
  </si>
  <si>
    <t>23 studies had weak quality, 1 had moderate quality</t>
  </si>
  <si>
    <t>Schepens</t>
  </si>
  <si>
    <t>How to improve the quality of life of elderly people with intellectual disability: A systematic literature review of support strategies</t>
  </si>
  <si>
    <t>Which support strategies and support interventions can be identified and  classified as having influences on QoL  outcomes for elderly people with intellectual disability?</t>
  </si>
  <si>
    <t>only extracted information for the studies that met inclusion criteria: interventions and measured interpersonal relationships or social inclusion outcomes. Very tricky data extraction!</t>
  </si>
  <si>
    <t>ERIC OvidSP, MedLine OvidSP, Sage Journals online, Elsevier Science Direct, Elsevier Scopus, ProQuest, and PubMed databases, all EBSCO databases and Web of Science (including Social Sciences Citation Index and Conference Proceedings Citation Index—Social Sciences &amp; Humanities) were searched</t>
  </si>
  <si>
    <t>Aug, 2017</t>
  </si>
  <si>
    <t>active aging (leading a meaningful active life within the community) and the QoL model proposed by Schalock 2004 (domains of emotional, physical and material wellbeing; personal development and self-determination ; and interpersonal relationships, social inclusion and rights).</t>
  </si>
  <si>
    <t>P: IQ &lt; 75, aged &gt;=50 years old
I/O: explicit and strict link was made between variables of (quality of) care/support and QoL outcomes.
Other: original, peer‐reviewed, English, Dutch,  German, or French research, all with English abstracts and 
keywords.</t>
  </si>
  <si>
    <t>Systematic reviews, expert opinions, and reports from symposia</t>
  </si>
  <si>
    <t>No C clearly defined, or publication type</t>
  </si>
  <si>
    <t>Selected studies relevant to our rvw if they had assessed interpersonal relations or social inclusion outcomes in Table 2 and 3</t>
  </si>
  <si>
    <t>Mean range: 55.8 to 68.0</t>
  </si>
  <si>
    <t>severity not consistently reported</t>
  </si>
  <si>
    <t>Ireland X 2</t>
  </si>
  <si>
    <t>Netherlands X 2</t>
  </si>
  <si>
    <t>Israel X 4</t>
  </si>
  <si>
    <t>USA X 1</t>
  </si>
  <si>
    <t>Hong Kong X 1</t>
  </si>
  <si>
    <t>support strategies to enhance QoL for older ppl with ID: physical activity, retirement transition, community group membership, person centred planning, life story</t>
  </si>
  <si>
    <t>older adult</t>
  </si>
  <si>
    <t>sharing life story</t>
  </si>
  <si>
    <t>1. Retirement-focused outcomes (T2 &amp; 3): social inclusion and interpersonal relationships
2. Physical activity-focused outcomes (T2 &amp; 3): interpersonal relationships
3. Existential supports (T 2): social inclusion and  interpersonal relationships
4. Planning supports (T2):  social inclusion and  interpersonal relationships
5. Education of older ppl to use cognitive devices (T2): social inclusio
Note: specific outcome measures not reported, but a mixture of quant and qual studies</t>
  </si>
  <si>
    <t>Domain:
1. positive and negative effects on QoL
2. positive and negative effects on QoL
3-5: positive effects</t>
  </si>
  <si>
    <t>Evidence Based Library (EBL) Critical Appraisal Checklist supplemented with criteria from seven similar check‐lists</t>
  </si>
  <si>
    <t xml:space="preserve">3 in bottom two quartiles (0-50), 11 third quartile (51-75); 2 in top quartile (76-100) </t>
  </si>
  <si>
    <t>Fonds de Soutien/Steunfonds Marguerite-Marie Delacroix</t>
  </si>
  <si>
    <t>Seewooruttun</t>
  </si>
  <si>
    <t>Interventions aimed at increasing knowledge and improving attitudes towards people with intellectual disabilities among lay people</t>
  </si>
  <si>
    <t>the following questions: (1) what interventions have been developed to tackle low knowledge of and negative attitudes towards ppl w ID?; (2) what were their effects?; and (3) how were these effects measured?</t>
  </si>
  <si>
    <t>PsycINFO, Web of Science and PubMed</t>
  </si>
  <si>
    <t>Mar, 2014</t>
  </si>
  <si>
    <t>S: published in English; published in peer reviewed journals; in the period 1990 to March 2014; 
P: the sample population was aged 16 years and above; 
I: intervention that aimed to impact attitudes towards people with intellectual disabilities and/or increase knowledge or understanding of intellectual disability
C: not defined
O: not defined (assume attitudes/knowledge!)</t>
  </si>
  <si>
    <t>Studies that related to learning difficulties such as dyslexia, other developmental disorders such as Autistic Spectrum Disorders or physical disability were excluded from the review. Similarly, studies that did not specifically focus on intellectual disability and encompassed a spectrum of  disabilities including physical and sensory
impairments were excluded</t>
  </si>
  <si>
    <t>No C or O defined</t>
  </si>
  <si>
    <t>Clinicians or clinical trainees (n=802), police officers (n=57), students (n=679), general population or volunteers (n=1841), teachers/trainee teachers (n=314), residential staff (n=45)</t>
  </si>
  <si>
    <t>Interventions relevant to knowledge/attitudes towards ppl with ID. One study with teachers included somet teachers who had students w/ ID in their class)</t>
  </si>
  <si>
    <t>Israel X 1</t>
  </si>
  <si>
    <t>USA X 5, Canada X2</t>
  </si>
  <si>
    <t>China X 1, Hong Kong X1</t>
  </si>
  <si>
    <t>environment</t>
  </si>
  <si>
    <t>Interventions aimed at increasing knowledge and improving attitudes towards people</t>
  </si>
  <si>
    <t>descriptions are not all clear</t>
  </si>
  <si>
    <t>knowledge; attitudes, affect, perceptions; confidence, self-efficacy</t>
  </si>
  <si>
    <t>11/16 studies examining attitudes had positive improvements; 7/8 studies measuring knowledge had positive improvements; 2/2 studies measuring confidence of self-efficacy had positive effects</t>
  </si>
  <si>
    <t>Soundy</t>
  </si>
  <si>
    <t>The transcending benefits of physical activity for individuals with schizophrenia: a systematic review and meta-ethnography. Psychiatry Research 220, 11–19</t>
  </si>
  <si>
    <t>to synthesise research that has documented the experiences of physical activity of patients with schizophrenia and HCPs who work with these individuals</t>
  </si>
  <si>
    <t>AMED, CINAHL Plus, Medline (revised), EMBASE, ASSIA, IBSS, Biological Nursing Index, Social Sciences Abstracts, ProQuest Nursing and Allied Health Source, Science Citation Index</t>
  </si>
  <si>
    <t>Jan, 2014</t>
  </si>
  <si>
    <t>P: ppl w a diagnosis of schizophrenia or if &gt;80% of the sample had schizophrenia according to recognised
criteria (DSM-V, ICD-10); 
D: the research utilised qualitative methods; 
O: views, perceptions, or experiences of physical activity or exercise of individuals with schizophrenia or the staff within the multi_x0002_disciplinary team working directly with them; 
S: published in English</t>
  </si>
  <si>
    <t>(a) two or more used the same the data set; if this happened, the primary author selected the article with the most valuable content;
(b) studies were only available as conference proceedings, as a thesis or sum_x0002_marised in a book; 
(c) studies did not primarily focus on physical activity;
(d) studies were a review or commentary; 
(e) studies were mixed methods or quantitative research.</t>
  </si>
  <si>
    <t>not explicit</t>
  </si>
  <si>
    <t>sex and age not reported in most papers</t>
  </si>
  <si>
    <t>physical activity - views, perceptions and experiences of people with schizophrenia, and staff working with them</t>
  </si>
  <si>
    <t xml:space="preserve">Theme 1: The influence of individuals and their environment upon physical activity
The influence of culture and identity on physical activity engagement (sedentary culture, impact of medication or physical health limitations; feeling vulnerable, isolated or having low self-worth)
Challenges presented by the environmental setting on physical activity participation (new environments are challenging, hesitancy to join groups/preferring one-one format, built environment as a barrier, restrictions of program availability/staff shortages)
Theme 2: Access and barriers to participation in physical activity
Psychosocial factors which influenced interactions within the community (social physique anxiety, concern about how they appear to others, meta-perceptions/thoughts about what others think of them, stigma/stereotypes)
The influence of the illness and medication on physical activity behaviour (illness symptoms could be a barrier or facilitator, stability of symptoms, sedative effects of medication as a barrier)
Lifestyle factors that influenced physical activity (smoking, diet, sleeping patterns were barriers, needing options that account for fitness levels and confidence)
Theme 3: Benefits of engaging in physical activity 
Bio-psychosocial benefits of physical activity sessions (weight loss success was motivating and could be a yardstick for recovery, body image, being weighed was unpleasant, reduction in voices/hallucinations, symptom relief, improved sleep, positive social interactions.
The broader psychosocial value of physical activity (benefits beyond psych changes in/around the phys activity sessions, promoting autonomy, focus on future gains, interest in personal hygiene, increased confidence/self-esteem to engage in the community, encouraging peers to participate, sense of pride/accomplishment/confidence, preventing boredom. Importance of social support between peers and from staff, emotional support provided empathy, sense of warmth and companionship. Tangible benefits for outings /community activities).
Group factors that influenced physical activity (positive relationships/connections w/ others, motivating participation, generated cohesion and relatedness b/n ppl which reduced anxiety)
</t>
  </si>
  <si>
    <t>overall positive, but barriers identified in most themes</t>
  </si>
  <si>
    <t xml:space="preserve"> Consolidated Criteria for Reporting Qualitative Studies (COREQ; Tong et al., 2007)</t>
  </si>
  <si>
    <t>4/11</t>
  </si>
  <si>
    <t xml:space="preserve">none were "fatally flawed". </t>
  </si>
  <si>
    <t>Davy Vancampfort is funded by the Research Foundation – Flanders (FWO – Vlaanderen).</t>
  </si>
  <si>
    <t>Spain</t>
  </si>
  <si>
    <t>Group social skills interventions for adults with high-functioning autism spectrum disorders: A systematic review</t>
  </si>
  <si>
    <t>Did not extract as all studies included in other reviews - just did AMSTAR</t>
  </si>
  <si>
    <t>n</t>
  </si>
  <si>
    <t>Group social skills interventions for adults with high-functioning autism spectrum
disorders</t>
  </si>
  <si>
    <t>Family therapy for autism spectrum disorders</t>
  </si>
  <si>
    <t>Whatis the evidence thatfamily therapy can help to improve communication, strengthen relationships, and enhance coping, mental health and well-being for people who have autism spectrum disorders (ASDs) or their family members, or both?</t>
  </si>
  <si>
    <t>not printed - no studies identified</t>
  </si>
  <si>
    <t>CENTRAL, MEDLINE, Embase, 10 other databases and three trials registers. W</t>
  </si>
  <si>
    <t>16/1/2017</t>
  </si>
  <si>
    <t>systemic theories, and specifically focusing on understanding, enhancing and improving
aspects of relationships between individuals with ASD and at least one family member; or between two or more members of the family of an individual with ASD (e.g. parents, or parents and siblings)</t>
  </si>
  <si>
    <t>P: families with at least one person with ASD diagnosis
I: Family therapy
C: no Rx, TAU, waitlist, active comparator
O: primary=quality or quantity of social interaction and communication, mental health, QoL, adverse effects/events
O: secondary: confidence, coping, satisfaction, dropout from treatment, health economic outcomes
D: RCTs</t>
  </si>
  <si>
    <t>no studies identified</t>
  </si>
  <si>
    <t>family therapy</t>
  </si>
  <si>
    <t>Cochrane Collaboration tool (Higgins 2011)</t>
  </si>
  <si>
    <t>NIHR Doctoral Research Fellowships</t>
  </si>
  <si>
    <t>Takahashi</t>
  </si>
  <si>
    <t>The effectiveness of dance/movement therapy interventions for autism spectrum disorder: A systematic review</t>
  </si>
  <si>
    <t>purpose of this study is (a) to verify the quality of DMT and ASD studies from 1970 to 2018 using the PRISMA guidelines, and (b) evaluate the efectiveness of DMT interventions for individuals with ASD.</t>
  </si>
  <si>
    <t>Medline, Pubmed, Cinahl, and Springer Link</t>
  </si>
  <si>
    <t>Dance/movement therapy (DMT) is a psychotherapeutic healing tool premised on the theory that the body and mind are connected</t>
  </si>
  <si>
    <t>P: ppl w ASD, Aspergers or PDD as per DMS or ICD for autism
I: dance therapy (not actually specified in selection criteria!)
C: not defined
O: not defined
S: publications in international evidence-based English academic journals between 1970 and 2018</t>
  </si>
  <si>
    <t>S: meta-analyses, systematic reviews, narrative reviews, theoretical article, conference abstracts, or theses;</t>
  </si>
  <si>
    <t>no C or O defined, and didn't explictly state dance interventions in the selection criteria.</t>
  </si>
  <si>
    <t>3 studies in paediatric samples</t>
  </si>
  <si>
    <t>Q1 min: 14, Q3 max: 53</t>
  </si>
  <si>
    <t>Two studies IQ&gt;85, Two studies IQ &lt;70</t>
  </si>
  <si>
    <t>two studies included ppl with IQ &lt;70</t>
  </si>
  <si>
    <t>dance therapy</t>
  </si>
  <si>
    <t>Emotional empathy scale; multifaceted empathy test; IRI; observation of mirroring/automatic imitation and interpersonal synchronization; Cognitive and Emotional Empathy Questionnaire</t>
  </si>
  <si>
    <t>Improvements in 3/4 studies</t>
  </si>
  <si>
    <t>spontaneous interaction in movement</t>
  </si>
  <si>
    <t>not reported/extracted?</t>
  </si>
  <si>
    <t>Oxford Centre for Evidence-Based Medicine: Levels of Evidence; National Institute of Health (NIH) National Heart, Lung and Blood Institute. Quality assessment of controlled intervention studies. Retrieved February 26, 2018 https://www.nhlbi.nih.gov/health-topics/
study-quality-assessment-tools</t>
  </si>
  <si>
    <t>2/4</t>
  </si>
  <si>
    <t>2 studies "low" and 2 studies "fair"</t>
  </si>
  <si>
    <t>Tint</t>
  </si>
  <si>
    <t>A systematic literature review of the physical and psychosocial correlates of Special Olympics participation among individuals with intellectual disability</t>
  </si>
  <si>
    <t>critically examine and synthesise the literature with regard to the impact of participation in SO programming (i.e. Traditional SO sports, Motor Activity Training, Young Athletes Programme, Unified Sports, Healthy Athletes or Athlete Leadership Training) on the physical, psychological/emotional, social and/or cognitive/intellectual development of individuals with ID.</t>
  </si>
  <si>
    <t>CINAHL, MEDLINE, PsychArticles, PsycINFO and Sportdiscus electronic</t>
  </si>
  <si>
    <t>May, 2015</t>
  </si>
  <si>
    <t>According to relational systems theory (Lerner 2006), a positive youth development (PYD) framework posits that positive characteristics develop through mutually beneficial ‘individual-context relations’ (Lerner et al. 2005). Utilising a PYD perspective, the National Research Council and Institute of Medicine (NRCIM) (2002) organises sport outcomes within four main domains of positive development: physical, psychological/emotional, social and
intellectual/cognitive.</t>
  </si>
  <si>
    <t>P: SO participants with ID
I: SO programs 
C: studies w/without comparison groups eligible
O: physical, psychological/emotional, social or cognitive/intellectual development
D: no restrictions on study design</t>
  </si>
  <si>
    <t>S: non-data-based studies, unpublished dissertations, reports, conference proceedings; not in English; if outcomes were not examined directly in relation to SO participation.</t>
  </si>
  <si>
    <t>complete</t>
  </si>
  <si>
    <t>19 paeds and 10 non-intervention/SCC o/c studies irrelevant</t>
  </si>
  <si>
    <t>Mean Q1: 24, Q3: 27; Min Q1: 14, Max Q3: 46</t>
  </si>
  <si>
    <t>sex not reported in three studies, one study only included parents. Total staff (n=89), family (n=546), other - nondisabled partners (n=61)</t>
  </si>
  <si>
    <t>ID severity not reported</t>
  </si>
  <si>
    <t>3 studies included ppl from serbia, poland, ukraine, germany and hungary; Czech republic X 2</t>
  </si>
  <si>
    <t>israel X 1, iran X 1</t>
  </si>
  <si>
    <t>USAX7, CanadaX4</t>
  </si>
  <si>
    <t>special olympics participation: Special Olympics (SO) was created to specifically ‘address the neglect and disregard of this population by using sport as a vehicle and stage for demonstrating the dignity and capability of people with ID’ (Corbin et al. 2005, p. 1)</t>
  </si>
  <si>
    <t>people with ID who aren't physically active</t>
  </si>
  <si>
    <t xml:space="preserve">social behaviour, internal/external maladaptive behaviours, communication ability, </t>
  </si>
  <si>
    <t>only three studies</t>
  </si>
  <si>
    <t>participation, social acceptance, community awareness and inclusion, feelings of social inclusion, inclusive/increased friendships, increased access to community venues; social approval; interpersonal dependency; social acceptance; community involvement</t>
  </si>
  <si>
    <t xml:space="preserve">positive effects in all domains except that SO involvement did not predict social acceptance in one study, </t>
  </si>
  <si>
    <t>self perception, self-efficacy</t>
  </si>
  <si>
    <t>only noted in two studies</t>
  </si>
  <si>
    <t>Scottish Intercollegiate Guidelines Network checklist for systematic reviews (SIGN 50; SIGN 2008).</t>
  </si>
  <si>
    <t>Not clear how they determined that studies in each classification had high/low ROB. The SIGN 50 criteria do not include cross-sectional studies; we therefore rated cross-sectional studies (e.g.  observational analytical studies) as equivalent to non-analytical studies (e.g. case reports and case series).</t>
  </si>
  <si>
    <t>Insight Grant from the Social Sciences and Humanities Research Council and Department of Canadian Heritage (Sport Canada), as well as by the Chair in Autism Spectrum Disorders Treatment and Care Research (#RN284208; Canadian Institutes of Health Research in partnership with NeuroDevNet, Sinneave Family Foundation, CASDA, Autism Speaks Canada and Health Canada).</t>
  </si>
  <si>
    <t>Tobin</t>
  </si>
  <si>
    <t>A systematic review of social participation for adults with autism spectrum disorders: Support, social functioning, and quality of life</t>
  </si>
  <si>
    <t>To investigate social participation and support facilitating improved participation and social functioning for adults with ASD</t>
  </si>
  <si>
    <t>ERIC, PsycINFO, PsycARTICLES, and PubMed</t>
  </si>
  <si>
    <t>Apr, 2013</t>
  </si>
  <si>
    <t>model integrating social functioning, social participation, and the social inclusion and interpersonal relations domains of QoL defined by Schalock (2004).</t>
  </si>
  <si>
    <t>P: adults (85% out of school, or aged 17+), diagnosed with ASD or ppl w ASD comprise &gt;=25% of sample.
I:  interventions that go beyond simple conversation skill development that focus on supporting social participation and/or social functioning
C: not defined
O: measures with a functional focus  in community environment/ social functioning
S: empirical investigation (intervention, observational, qualitative study)</t>
  </si>
  <si>
    <t>5 had no intervention and were not included in umbrella review</t>
  </si>
  <si>
    <t>LL Q1 18, UL Q3: 49</t>
  </si>
  <si>
    <t>Aspergers:2
Autism: 4</t>
  </si>
  <si>
    <t>England X 1,</t>
  </si>
  <si>
    <t>Spain X 1</t>
  </si>
  <si>
    <t>support for social participation for adults with autism spectrum disorders</t>
  </si>
  <si>
    <t xml:space="preserve">Gantman: EQ, QSQ, SELSA, SRS, SSI, SSRS, TYASSK); Hillier: AQ, EQ, Index of Peer relations, elicted conversations;
Howlin: elicited social role plays, initiating utterances
Jantz: UCLA Loneliness Scale, qual
Sperry: qual
Garcia-Villamisar: SSS, QoL Q, </t>
  </si>
  <si>
    <t>Quant: reduced loneliness, improved EQ, increased conversation participation, 
Qual: Positive effects on relationships, behaviour, social skills</t>
  </si>
  <si>
    <t xml:space="preserve"> the instrument created by Downs and Black (1998), and included
modifications suggested by Deeks et al. (2003) and Monteiro and Victoria (2005). A</t>
  </si>
  <si>
    <t>1/6</t>
  </si>
  <si>
    <t>1 poor, 3 acceptable, 2 good</t>
  </si>
  <si>
    <t>Walker</t>
  </si>
  <si>
    <t>Peer support in adult mental health services: A metasynthesis of qualitative findings</t>
  </si>
  <si>
    <t>findings from qualitative studies on peer support have not been synthesized to underpin development, and so the aim of this research was to fill this gap. The research objectives were to uncover the active ingredients of peer support by systematically investigating data drawn from the experiences of peer support workers, their nonpeer colleagues, and the recipients of peer support services</t>
  </si>
  <si>
    <t>CINAHL [EBSCO], PsycINFO [EBSCO], PsychARTICLES [EBSCO], AMED, Allied and Contemporary Medicine [OVID],
MEDLINE [OVID], BNI, British Nursing Index [OVID], SCOPUS.</t>
  </si>
  <si>
    <t>I/O: studies that investigated experiences of peer support, from the perspectives of recipients, peer support workers, and professional colleagues. Statutory mental health settings and settings that share leadership with statutory mental health settings were included. 
I: Peer support was defined as providing direct services to people in recovery from mental health problems including substance misuse</t>
  </si>
  <si>
    <t>Charity organisations and peer-run organizations were excluded.
Studies concerned with other health issues were excluded. Also excluded were studies of consultative roles with no direct contact with people in recovery, self-help groups, and peer-run organizations.</t>
  </si>
  <si>
    <t>STARLIGHT</t>
  </si>
  <si>
    <t>not really clear how the design fits the STARLIGHT format?</t>
  </si>
  <si>
    <t>sample characteristics not provided, so assume all met our criteria</t>
  </si>
  <si>
    <t>Sample size includes the peer workers and peer recipients. 138 non-peer staff were also included.</t>
  </si>
  <si>
    <t>UK X3</t>
  </si>
  <si>
    <t>USAX16, Canada X4</t>
  </si>
  <si>
    <t>Peer Support</t>
  </si>
  <si>
    <t>Peers: experiences wrt social networks, confidence, self-esteem reintegration into the community, but also challenges (perceived stigma/isolation from non-peer staff)
Pple in recovery: hope, motivation, social network, rapport with others</t>
  </si>
  <si>
    <t>Appears positive effects overall, but several barriers/issues identified</t>
  </si>
  <si>
    <t>CASP appraisal tool</t>
  </si>
  <si>
    <t>25</t>
  </si>
  <si>
    <t>all studies had low CASP scores, so they didn't report the specific CASP ratings</t>
  </si>
  <si>
    <t>Webber</t>
  </si>
  <si>
    <t>A review of social participation interventions for people with mental health problems</t>
  </si>
  <si>
    <t xml:space="preserve"> to summarise social participation intervention models which have at least some evidence of positive social network outcomes. Its purpose is to illustrate the diversity of approaches which practitioners use, highlight gaps in the evidence base and suggest future directions for research.</t>
  </si>
  <si>
    <t>PsycINFO, MEDLINE, Pubmed, CINAHL,  Embase, Social Policy and Practice, Social Services Abstracts, and the Cochrane Library</t>
  </si>
  <si>
    <t>one of the interventions (Groups for Health) draws upon social identity theory [39] and self-categorisation theory [40] through its understanding that group membership provides people with a distinctive sense of self. In particular, it was informed by the social identity model of identity change [41] which emphasises group processes which target social connectedness.</t>
  </si>
  <si>
    <t>P: any diagnosed mental health program, excluding substance misuse
I: psychosocial interventions comprising a specific social component adressing psychological or social needs rather than biological needs; individual or group
C: studies with/wihout a comparison were eligible
O: social networks or social participation either in the intervention setting/group or in the community</t>
  </si>
  <si>
    <t>I: pharmacological, physical or pscyhological interventions with no social element. Online interventions with no face to face contact.</t>
  </si>
  <si>
    <t>did not include the ABI group social skill training study</t>
  </si>
  <si>
    <t>Models/findings summarised at the group level, not at the study level. No individual study characteristics reported. Studies conducted in 14 countries.</t>
  </si>
  <si>
    <t>schizophrenia/schizo-affective/psychosis, depression/anxiety, SMI, other MH conditions not defined</t>
  </si>
  <si>
    <t xml:space="preserve">social participation interventions: 
1. individual social skills training; 
2. group skills training; 
3. supported community engagement; 
4. group-based community activities; 
5. employment interventions; 
6. peer support interventions. </t>
  </si>
  <si>
    <t>Not reported</t>
  </si>
  <si>
    <t>interpersonal skills (mentioned in one study)
(Specific measures not reported, only outcomes across studies)</t>
  </si>
  <si>
    <t>only one study</t>
  </si>
  <si>
    <t>Social relations, instrumental role functioning, social networks, social satsifaction, ability to get along with people, "social functioning", loneliness, participation in the community, links with social networks, access to social capital, social QoL, relationships, social activity, social inclusion
(Specific measures not reported, only outcomes across studies)</t>
  </si>
  <si>
    <t>All studies reported positive impacts on one or more social function domain. One study stated no difference in improvements c.f the CG, and one other acknowledged that maintaining social relationships was perceived to be difficult.</t>
  </si>
  <si>
    <t>no tool used, although at the end of the results the authors say that "many of the 18 trials... were at high risk of bias"</t>
  </si>
  <si>
    <t>unknown</t>
  </si>
  <si>
    <t>Wilson</t>
  </si>
  <si>
    <t>A systematic review of interventions to promote social support and parenting skills in parents with an intellectual disability</t>
  </si>
  <si>
    <t>to systematically review two types of interventions for parents with ID: those designed to strengthen social relationships and those developed to teach parenting skills</t>
  </si>
  <si>
    <t>OVID databases including, psycINFO (from 1987), EMBASE (from 1980), ERIC (from 1965), Medline (without revisions from 1996), MIDRIS, CINAHL (from 1937) and ASSIA (from 1987)</t>
  </si>
  <si>
    <t>nr, but most recent paper was 2010</t>
  </si>
  <si>
    <t>P/I: interventions for parents with ID 
O: quantitative outcome measures to judge the effectiveness of the intervention. 
C/S: Studies in the English language that were carried out internationally were included.  As reviews of earlier research in parental skills teaching have been previously carried out (e.g. Feldman 1994; Wade et al. 2008; Coren et al. 2010) and given the wider scope of this review, the search excluded studies pre-1999.</t>
  </si>
  <si>
    <t>Studies that had unclear or inadequate outcome measures or did not provide adequate descriptive information regarding the intervention were excluded.</t>
  </si>
  <si>
    <t>no specific outcome defined, no C</t>
  </si>
  <si>
    <t>Mean: 29-42</t>
  </si>
  <si>
    <t>some studies had participants with all or most IQ&gt;70</t>
  </si>
  <si>
    <t>social support and parenting skills</t>
  </si>
  <si>
    <t>RCT: home-based skills teaching programme was more effective than other less intensive forms of intervention
NRCT: not clear what the control condition was</t>
  </si>
  <si>
    <t>social skills: interpersonal skills (IPRI)
parenting skills/behaviour/feelings: feelings about children, performance of parenting behaviours
parenting knowledge: safety knowledge</t>
  </si>
  <si>
    <t>4 capacity outcomes were improved, two did not differ, 1 had mixed results = 57%</t>
  </si>
  <si>
    <t>relationship quality</t>
  </si>
  <si>
    <t>DASS</t>
  </si>
  <si>
    <t>medium sized effects for depression, small/medium effect for anxiety and stress</t>
  </si>
  <si>
    <t>in reference to national recommendations [Scottish Intercollegiate Guidelines Network (SIGN) 2008]. The SIGN study design algorithm (SIGN 2008) was adhered to and studies were classified as either randomized controlled trial (RCT), non-RCT or before–after study/interrupted time series.</t>
  </si>
  <si>
    <t>1 low quality, 5 not available</t>
  </si>
  <si>
    <t>not clearly reported</t>
  </si>
  <si>
    <t>Williams</t>
  </si>
  <si>
    <t>A systematic review of mental health and wellbeing outcomes of group singing for adults with a mental health condition</t>
  </si>
  <si>
    <t>Systematic review</t>
  </si>
  <si>
    <t>aimed to assess the viability of choir singing to improve mental health and wellbeing in people with a mental health condition. It also reviewed
the methodology used in this research to make recommendations for future research in this emerging field</t>
  </si>
  <si>
    <t>P: people aged 18+ with MH condition
I: singing group participation in community settings
C/methods: quant/qual
O: MH, wellbeing and QoL or participation themes</t>
  </si>
  <si>
    <t>P: other cognitive/neurological conditions</t>
  </si>
  <si>
    <t>UKX5</t>
  </si>
  <si>
    <t>Canada X2</t>
  </si>
  <si>
    <t>Cochrane for quant studies, COREQ for qual studies</t>
  </si>
  <si>
    <t>quant studies all high risk of bias, qual studies moderate risk of bias</t>
  </si>
  <si>
    <t>Siette</t>
  </si>
  <si>
    <t>Effectiveness of befriending interventions: a systematic review and meta-analysis</t>
  </si>
  <si>
    <t xml:space="preserve"> aim of this systematic review was to evaluate the evidence for the effectiveness of befriending across a 
broad range of health conditions and clinical and social outcomes.</t>
  </si>
  <si>
    <t>P: people of all ages living in the community allocated to a befriending intervention
I: agency based befriending interventions where a pt is introduced to one or more volunteer individuals whose main aim is to provide additional social support through the development of an affirming, emotion-focused relationship over time
C: usual care or no treatment
O: "broad range of clinical and social outcomes"
D: RCTs, and nonRCTs /case series for health conditions for which there were no RCTs</t>
  </si>
  <si>
    <t>not defined</t>
  </si>
  <si>
    <t>not presented w PICO structure</t>
  </si>
  <si>
    <t>UKX2, IrelandX1</t>
  </si>
  <si>
    <t>Cochrane Colllaboration Risk of Bias tool</t>
  </si>
  <si>
    <t>2 high, 3 moderate, 1 low</t>
  </si>
  <si>
    <t>research funded by the National Institute for Health Research (NIHR) under its Programme Grants for Applied Research programme (Reference Number RP-PG-0611- 20002</t>
  </si>
  <si>
    <t>Clatworthy</t>
  </si>
  <si>
    <t>Gardening as a mental health intervention: a review</t>
  </si>
  <si>
    <t>to evaluate the current evidence-base for gardening-based mental health interventions</t>
  </si>
  <si>
    <t>nr, but most recent paper was 2011</t>
  </si>
  <si>
    <t>P: adults experiencing "functional MH difficulties"
I: active horticulture
C: nr
O: nr
published in peer-reviewed journal
written in English</t>
  </si>
  <si>
    <t>not explicitly PICO design</t>
  </si>
  <si>
    <t>FinlandX1, NorwayX1 (4 papers)</t>
  </si>
  <si>
    <t>Hong Kong X 1, Korea X1</t>
  </si>
  <si>
    <t>critical appraisal, but no explicit quality/ROB appraisal</t>
  </si>
  <si>
    <t>Picton</t>
  </si>
  <si>
    <t>Experiences of outdoor nature-based therapeutic recreation programs for persons with a mental illness: A qualitative systematic review</t>
  </si>
  <si>
    <t>to identify, appraise, and synthesize the best available evidence related to participation in outdoor, nature-based TR programs for adults with a mental illness living in the community</t>
  </si>
  <si>
    <t>..</t>
  </si>
  <si>
    <t>P: adults 18yrs+ with mental illness diagnosis, living in the community, referred to a therapeutic recreation program
Phenomena: subjective experiences of outdoor nature based programs. programs/service/initiatives offering outdoor nature-based recreation activties including adventure camps; TR; sporting,
gardening, and community-based leisure programs; and healthy lifestyle programs that are primarily focused on the use of recreation to enhance mental health recovery
Context: nature-based community settings 
study type: qualitative studies</t>
  </si>
  <si>
    <t xml:space="preserve">excluded if the primary focus of the study was on exercise, fitness, or physical activity with the aim to enhance solely physiological outcomes such as weight loss, power, flexibility, or physical behavior changes. </t>
  </si>
  <si>
    <t>Ireland X1, UKX10</t>
  </si>
  <si>
    <t>USA X1, Canada X3</t>
  </si>
  <si>
    <t>JBI Qualitative Assessment and Review Instrument.
the ConQual approach to grade the confidence</t>
  </si>
  <si>
    <t>17</t>
  </si>
  <si>
    <t>only author/editorial COIs, no other COIs disclosed</t>
  </si>
  <si>
    <t>Genter</t>
  </si>
  <si>
    <t>The contribution of allotment gardening to health and wellbeing: A systematic review of the literature</t>
  </si>
  <si>
    <t>Question: Does allotment gardening contribute to health and wellbeing?</t>
  </si>
  <si>
    <t>P: people engaged in active allotment gardening, aged 18+ years
I: allotment gardening
C: nr
O: health and wellbeing</t>
  </si>
  <si>
    <t>I: papers on community gardens
papers in languages other than English</t>
  </si>
  <si>
    <t>FinlandX1</t>
  </si>
  <si>
    <t>Critical appraisal using framework by Downs and Black 1998: 
Quant studies: reporting, external validity, internal validity and power
Qual studies: "methodological limitations"</t>
  </si>
  <si>
    <t>no funding to disclose</t>
  </si>
  <si>
    <t>Fortuna</t>
  </si>
  <si>
    <t>Digital Peer Support Mental Health Interventions for People With a Lived Experience of a Serious Mental Illness:Systematic Review</t>
  </si>
  <si>
    <t>objectives were (1) to expand on prior reviews that focused on peer support services that did not include technology [4,5] or that focused on peer support using technology but only for people with psychosis [13] and (2) to conduct a systematic literature review to assess the feasibility, acceptability, and potential effectiveness of digital peer support interventions for adults with serious mental illnesses</t>
  </si>
  <si>
    <t xml:space="preserve">P: Individuals aged≥18 years with either a diagnosis of schizophrenia spectrum disorder (schizophrenia or schizoaffective disorder) or bipolar disorder. 
I: Digital peer support interventions, including peer-delivered interventions, peer augmented interventions, and peer-to-peer social media interventions. Interventions could have been delivered at any location such as participants’ homes, primary care setting, federally qualified health centers, outpatient facilities,inpatient facilities, community mental health centers, community settings, or could have been delivered via remote or mobile technology.
C: Studies did not need to have a comparison condition. 
O: The primary outcomes of interest included those related to feasibility, acceptability, and effectiveness (ie, biomedical and psychosocial outcomes).
D: RCTs, pre-post design, qualitative, and analysis of feasibility, acceptability, and effectiveness of digital peer support interventions. </t>
  </si>
  <si>
    <t>Research protocols, letters to the editor, review articles, pharmacological studies,
theoretical articles, and articles that were not peer-reviewed were excluded from this systematic review.</t>
  </si>
  <si>
    <t>PICOS</t>
  </si>
  <si>
    <t>Japan</t>
  </si>
  <si>
    <t>Methodological Quality Rating Scale</t>
  </si>
  <si>
    <t>all met l&lt;=11/17 quality criteria</t>
  </si>
  <si>
    <t>KF received funding support from National Institutes of Mental Health (NIMH), Grant K01MH117496. This research was also supported by the VA Rehabilitation Research and Development Service (CDA IK2RX002339; AJ, principal investigator).</t>
  </si>
  <si>
    <t>Fuhr</t>
  </si>
  <si>
    <t>Effectiveness of peer-delivered interventions for severe mental illness and depression on clinical and psychosocial outcomes: a systematic review and meta-analysis</t>
  </si>
  <si>
    <t>(1) to synthesise the global evidence of peer-delivered interventions on clinical and psychosocial out_x0002_comes among individuals with severe mental illness (SMI)
or depression (2) to update earlier reviews on that topic, and (3) to provide further guidance for future research on peer-delivered interventions</t>
  </si>
  <si>
    <t>P:  adults diagnosed with a mental disorder according to ICD-10 or DSM-IV
I: peer-delivered intervention
C: TAU or Rx by a professional health worker
O: mental healht outcomes
D: RCTs</t>
  </si>
  <si>
    <t>Cochrane bias tool</t>
  </si>
  <si>
    <t>ROB available in supplementary tables</t>
  </si>
  <si>
    <t>no effects on social functioning outcomes, although there was a tendency to favour the peer model for short-term followup</t>
  </si>
  <si>
    <t>Daniela Fuhr is funded by the National Institute of Mental Health. Tatiana Taylor Salisbury is partly funded by the MRC and Department for International Development, Mary De Silva is funded by an LSHTM/Wellcome Trust Fellowship, Nadja van Ginneken by a Wellcome Trust clinical PhD fellowship, and Vikram Patel by a Wellcome Trust Senior Research Fellowship in Clinical Science.</t>
  </si>
  <si>
    <t>White</t>
  </si>
  <si>
    <t>The effectiveness of one-to-one peer support in mental health services: a systematic review and meta-analysis</t>
  </si>
  <si>
    <t>a) systematically review all the available peer-reviewed evidence for one-to-one peer support interventions for adults using mental health services b) evaluate the effects of one-to-one peer support in mental health services on a range of pre-specified outcomes c) investigate, using subgroup analyses, how heterogeneity in intervention (i.e. type of peer support, quality of organisational support for peer support) is related to outcome</t>
  </si>
  <si>
    <t>P: adults using MH services
I: one-to=one support intentionally provided by a peer worker, including both  ‘adjunctive’ and ‘substitute’ peer support interventions
C: all possible comparator condition
O: Hospitalisation, Emergency service use, Employment, Overall psychiatric symptoms, Symptoms of psychosis, Depression and anxiety, Quality of Life, Recovery (self-rated), Hope, Empowerment, Satisfaction with services, Social functioning, Social network support, Working alliance (clinician rated/ patient rated), Self-stigma,  Experienced stigma, Engagement with services, Wellbeing
S: RCTs</t>
  </si>
  <si>
    <t>Studies were excluded if peer support was:
not the primary means of delivering the intervention; not one-to-one or intentionally provided by a peer worker; where mental health was not the primary focus of the intervention.
Other exclusions were applied if the study was not in the English language, non-retrievable, or did not contain empirical data.</t>
  </si>
  <si>
    <t>Germany X1</t>
  </si>
  <si>
    <t>USA X6</t>
  </si>
  <si>
    <t>Cochrane  Collaboration Risk of Bias Tool</t>
  </si>
  <si>
    <t>2 low ROB</t>
  </si>
  <si>
    <t>sub group analyses didn't explain heterogeneity in effects</t>
  </si>
  <si>
    <t>UK National Institute for Health Research, Programme Grants for Applied Research funding programme (grant number RP-PG-1212-20019).</t>
  </si>
  <si>
    <t>Pitt</t>
  </si>
  <si>
    <t>consumer-providers of care for adult clients of statutory mental health services</t>
  </si>
  <si>
    <t>cochrane Review</t>
  </si>
  <si>
    <t>To assess the effects of employing current or past adult consumers of mental health services as providers of statutory mental health services.</t>
  </si>
  <si>
    <t>Not extracted as all studies already included in other SRs</t>
  </si>
  <si>
    <t>All included in other SRs</t>
  </si>
  <si>
    <t>ALL STUDIES</t>
  </si>
  <si>
    <t>STUDIES NOT EXTRACTED</t>
  </si>
  <si>
    <t>TOTAL EXTRACTED</t>
  </si>
  <si>
    <t>COUNT: SR</t>
  </si>
  <si>
    <t>COUNT: SR with meta-qual</t>
  </si>
  <si>
    <t>COUNT if &gt;1 disability</t>
  </si>
  <si>
    <t>COUNT if "n/a"</t>
  </si>
  <si>
    <t>MAX</t>
  </si>
  <si>
    <t>COUNT: meta-analysis</t>
  </si>
  <si>
    <t>COUNT if "unclear"</t>
  </si>
  <si>
    <t>COUNT if "nr"</t>
  </si>
  <si>
    <t>COUNT: LOW quality/high ROB</t>
  </si>
  <si>
    <t>MIN</t>
  </si>
  <si>
    <t>COUNT: Cochrane reviews</t>
  </si>
  <si>
    <t>COUNT if "no"</t>
  </si>
  <si>
    <t>COUNT if 0</t>
  </si>
  <si>
    <t>COUNT: moderate quality/ROB</t>
  </si>
  <si>
    <t>MEDIAN</t>
  </si>
  <si>
    <t>COUNT: Scoping review</t>
  </si>
  <si>
    <t>COUNT if "yes"</t>
  </si>
  <si>
    <t>COUNT if &gt; =1</t>
  </si>
  <si>
    <t>COUNT: high quality/low ROB</t>
  </si>
  <si>
    <t>25th percentile</t>
  </si>
  <si>
    <t>COUNT: Umbrella review (reclassified Roche as umbrella review, as it was a scoping review that only included SRs)</t>
  </si>
  <si>
    <t>COUNT: not reported</t>
  </si>
  <si>
    <t>75th percentile</t>
  </si>
  <si>
    <t>COUNT: not applicable</t>
  </si>
  <si>
    <t>COUNT: not clear</t>
  </si>
  <si>
    <t>Sum</t>
  </si>
  <si>
    <t>PICO: population, intervention, comparison, outcome
SPICE: setting, population/perspective, intervention, comparison, evaluation
PCC: population, concept, context</t>
  </si>
  <si>
    <t>A-priori protocol</t>
  </si>
  <si>
    <t>Explanation of study selection</t>
  </si>
  <si>
    <t>search strategy &amp; justified eligibility</t>
  </si>
  <si>
    <t>screening in duplicate</t>
  </si>
  <si>
    <t>extraction in duplicate</t>
  </si>
  <si>
    <t>Full text exclusion details</t>
  </si>
  <si>
    <t>Study designs extracted/reviewed in sufficient detail</t>
  </si>
  <si>
    <t>RoB assessed with appropriate technique</t>
  </si>
  <si>
    <t>funding of included studies reported</t>
  </si>
  <si>
    <t>meta-analysis method appropriate</t>
  </si>
  <si>
    <t>meta-analysis wrt RoB impacts</t>
  </si>
  <si>
    <t>RoB taken into consideration in synthesis</t>
  </si>
  <si>
    <t>Heterogenity</t>
  </si>
  <si>
    <t>meta-analysis publishing biases</t>
  </si>
  <si>
    <t>SR author COIs</t>
  </si>
  <si>
    <t>RoB or taking RoB into consideration in synthesis</t>
  </si>
  <si>
    <t>Total Yes</t>
  </si>
  <si>
    <t>Total partial</t>
  </si>
  <si>
    <t>Total No</t>
  </si>
  <si>
    <t>Total yes/partial score</t>
  </si>
  <si>
    <t>Total domains</t>
  </si>
  <si>
    <t>Percentage domains</t>
  </si>
  <si>
    <t>score</t>
  </si>
  <si>
    <t>partial</t>
  </si>
  <si>
    <t>CRD42015020540; did not have a clear plan for meta-analysis, and did not plan for examining sources of heterogeneity</t>
  </si>
  <si>
    <t>didn't explain why they restricted to RCTs</t>
  </si>
  <si>
    <t>Didn't consult content experts, but senior author is a psychiatrist/neurologist/psychotherapist</t>
  </si>
  <si>
    <t>checked random 20% of citations, but didn't say whether these were all consistent.</t>
  </si>
  <si>
    <t>not clear, appears only that ROB was double rated</t>
  </si>
  <si>
    <t>.</t>
  </si>
  <si>
    <t>No comparator or Outcome defined in design</t>
  </si>
  <si>
    <t>No protocol</t>
  </si>
  <si>
    <t>No explanation for study design selection</t>
  </si>
  <si>
    <t>No search restrictions mentioned</t>
  </si>
  <si>
    <t>duplicate screening not mentioned</t>
  </si>
  <si>
    <t>duplicate extraction not mentioned</t>
  </si>
  <si>
    <t>Excluded paper reasons not given</t>
  </si>
  <si>
    <t>Did not explain the comparator group for active control</t>
  </si>
  <si>
    <t>No ROB assessment</t>
  </si>
  <si>
    <t>Funding for studies not recorded</t>
  </si>
  <si>
    <t>No meta-analyses</t>
  </si>
  <si>
    <t>No RoB</t>
  </si>
  <si>
    <t>Discussed heterogeneity of one study only, but not across the studies included</t>
  </si>
  <si>
    <t>authors COI or funding not disclosed</t>
  </si>
  <si>
    <t>PCC addressed</t>
  </si>
  <si>
    <t>No mention of eligible study designs (even if "all" are eligible)</t>
  </si>
  <si>
    <t>not at the level of individual studies excluded</t>
  </si>
  <si>
    <t>informal documentation of study weaknesses</t>
  </si>
  <si>
    <t>Outcomes synthesised in the context of study weaknesses</t>
  </si>
  <si>
    <t>Results discussed wrt differences in ID severity</t>
  </si>
  <si>
    <t>No comparator defined in design</t>
  </si>
  <si>
    <t>not explicitly presented as PICO, but addressed each domain</t>
  </si>
  <si>
    <t>explained but not justified</t>
  </si>
  <si>
    <t>second reviewer checked accuracy, not blinded</t>
  </si>
  <si>
    <t>PICO references, P and I included in inclusion criteria, no C or O stated in methods, research design stated</t>
  </si>
  <si>
    <t xml:space="preserve">PROSPERO registered, but did not sufficiently explain all criteria </t>
  </si>
  <si>
    <t>did not provide search terms</t>
  </si>
  <si>
    <t>did not describe interventions in detail, did not clearly explain follow up assessment times</t>
  </si>
  <si>
    <t>does not specify eligible C</t>
  </si>
  <si>
    <t>did not have a clear plan for investigating causes of heterogeneity</t>
  </si>
  <si>
    <t>Downs and Black's checklist</t>
  </si>
  <si>
    <t>did not include a plan for heterogeneity assessment</t>
  </si>
  <si>
    <t>didn't consult experts, not clear if reference lists searched</t>
  </si>
  <si>
    <t>design not reported, control group not described</t>
  </si>
  <si>
    <t>allegedly did a ROB assessment, but didn't report it in the paper</t>
  </si>
  <si>
    <t>Control group not described for Valentini, research designs not clear (mainly b/c of valentini, but also the other studies for which outcomes extraction was not done)</t>
  </si>
  <si>
    <t>none to disclose</t>
  </si>
  <si>
    <t>not disclosed</t>
  </si>
  <si>
    <t>just stated inclusion/exclusion, not why</t>
  </si>
  <si>
    <t>did not extract and report "social functioning" outcomes, or some of the other symptom outcomes in detail.</t>
  </si>
  <si>
    <t>study designs not clear</t>
  </si>
  <si>
    <t>not enough detail provided, and did not report by each domain for each study</t>
  </si>
  <si>
    <t>not clear what the control group was for Mateos, or whether Elliott used multiple baseline or group level analysis</t>
  </si>
  <si>
    <t>did not describe the control groups</t>
  </si>
  <si>
    <t>C: not defined, O: examining effects on outcomes (not defined</t>
  </si>
  <si>
    <t>no C  or O explicitly defined in design</t>
  </si>
  <si>
    <t>did not EXPLAIN selection</t>
  </si>
  <si>
    <t>Did not clearly report in results which intervention studies were RCTs, summary results described only</t>
  </si>
  <si>
    <t>only determined ROB for intervention studies, described in a separate section of the results</t>
  </si>
  <si>
    <t>CRD42013003674</t>
  </si>
  <si>
    <t>only partly</t>
  </si>
  <si>
    <t>one reviewer, checked for accuracy by second author</t>
  </si>
  <si>
    <t>CRD42012003032 - no mention of presence/absence of meta-analysis plan or how to deal with sources of heterogeneity</t>
  </si>
  <si>
    <t>justified in introduction</t>
  </si>
  <si>
    <t>control condition not described for two studies (21 and 22)</t>
  </si>
  <si>
    <t>no comparator or outcomes defined in design</t>
  </si>
  <si>
    <t>no explanation of why research designs were eligible</t>
  </si>
  <si>
    <t>not explicitly stated</t>
  </si>
  <si>
    <t>checked by second author</t>
  </si>
  <si>
    <t>not clear what the comparator and research design were for some studies</t>
  </si>
  <si>
    <t>not clearly described to allow us to ascertain</t>
  </si>
  <si>
    <t>not done clearly enough!</t>
  </si>
  <si>
    <t>although not explicit</t>
  </si>
  <si>
    <t>CRD42015029662</t>
  </si>
  <si>
    <t>no explanation</t>
  </si>
  <si>
    <t>checked by second author, but don't report accuracy</t>
  </si>
  <si>
    <t>not explained</t>
  </si>
  <si>
    <t>no details on ID severity for majority of papers</t>
  </si>
  <si>
    <t>did not refer to a prior protocol</t>
  </si>
  <si>
    <t>only RCTs included, but didn't explain why</t>
  </si>
  <si>
    <t>no trial registries or expert consultation</t>
  </si>
  <si>
    <t>didn't specify comparator, but included different trial designs separately</t>
  </si>
  <si>
    <t>not clear what the comparator conditions are</t>
  </si>
  <si>
    <t>although their meta-analysis is not useful to us b/c it includes non-MH studies</t>
  </si>
  <si>
    <t>no population or comparator eligibility defined</t>
  </si>
  <si>
    <t>not clear if experts consulted, grey literature searched etc.</t>
  </si>
  <si>
    <t>missing demographics of the samples</t>
  </si>
  <si>
    <t>PCC criteria addressed although not explicitly</t>
  </si>
  <si>
    <t>only described key findings, didn't report effect sizes/data</t>
  </si>
  <si>
    <t>only for some oft he citations</t>
  </si>
  <si>
    <t>not explicitly PICO, but essentially covered by  describing designs</t>
  </si>
  <si>
    <t>only reviewed full texts that were excluded</t>
  </si>
  <si>
    <t>justified not judging ROB</t>
  </si>
  <si>
    <t>did not describe ASD severity/characteristics</t>
  </si>
  <si>
    <t>no c defined</t>
  </si>
  <si>
    <t>no details on controls, difficult to marry the results in text with the studies in the table</t>
  </si>
  <si>
    <t>unclear if the ROB included ax of blinding, allocation concealment etc.</t>
  </si>
  <si>
    <t>outcome measures not clearly reported in tables</t>
  </si>
  <si>
    <t>certainty of evidence evaluated</t>
  </si>
  <si>
    <t>no participant or comparison defined in design</t>
  </si>
  <si>
    <t>none listed/referred to</t>
  </si>
  <si>
    <t>did not specify eligible study designs</t>
  </si>
  <si>
    <t>second reviewer checked a random 25% of citations/full texts. Did not report agreement</t>
  </si>
  <si>
    <t>extraction by one reviewer and checked by a second, but didn't report accuracy</t>
  </si>
  <si>
    <t>comparators and follow up timeframes not reported</t>
  </si>
  <si>
    <t>not clear in manuscript which aspects of allocation, blinding, selective reporting were judged</t>
  </si>
  <si>
    <t>stated but not explained</t>
  </si>
  <si>
    <t>pico!</t>
  </si>
  <si>
    <t>published!</t>
  </si>
  <si>
    <t>reported that 10% were double-checked by another reviewer, but didn't report agreement</t>
  </si>
  <si>
    <t>no comparator defined in design</t>
  </si>
  <si>
    <t>did not search trial registries or grey literature, did not consult experts, last search two years before publication</t>
  </si>
  <si>
    <t>only had R2 screen ambiguous citations</t>
  </si>
  <si>
    <t>checking of second reviewer not assessed</t>
  </si>
  <si>
    <t>not clear if exposure/outcomes and selective reporting assessed</t>
  </si>
  <si>
    <t>the nature of some of the interventions is not clear</t>
  </si>
  <si>
    <t>all studies had weak quality</t>
  </si>
  <si>
    <t>no registered/declared written protocol</t>
  </si>
  <si>
    <t>did not describe comparators or how outcomes were measured for quant studies</t>
  </si>
  <si>
    <t>only that physical activity interventions had higher quality</t>
  </si>
  <si>
    <t>no comparator or outcome defined in design</t>
  </si>
  <si>
    <t>no study designs specified</t>
  </si>
  <si>
    <t>not clear if experimental designs were RCTs or just comparing single exposures</t>
  </si>
  <si>
    <t>only for full text articles</t>
  </si>
  <si>
    <t>RCT/NRSI criteria not applicable, but appropriate quality appraisal conducted</t>
  </si>
  <si>
    <t>meta-ethnography</t>
  </si>
  <si>
    <t>no C or O defined, also didn't actually specify the I criteria!</t>
  </si>
  <si>
    <t>no explanation, just stated eligiblity</t>
  </si>
  <si>
    <t>control groups not clear</t>
  </si>
  <si>
    <t>didn't report follow up period</t>
  </si>
  <si>
    <t>unclear if the ROB included ax of allocation concealment etc.</t>
  </si>
  <si>
    <t>state that they used the STARLIGHT framework, but not clearly defined/reported</t>
  </si>
  <si>
    <t>not clear what the population or interventions were</t>
  </si>
  <si>
    <t>they could not determine quality/risk of bias for most of the studies with the tool selected</t>
  </si>
  <si>
    <t>PROSPERO</t>
  </si>
  <si>
    <t>didn't provide search terms (only examples in method)</t>
  </si>
  <si>
    <t>additional authors only reviewed extracted data</t>
  </si>
  <si>
    <t>not enough information on intervention design/intensity</t>
  </si>
  <si>
    <t>didn't search trial/study registries, experts? didn't search grey literature</t>
  </si>
  <si>
    <t>sample characteristics lacking</t>
  </si>
  <si>
    <t>no C or O defined</t>
  </si>
  <si>
    <t>didn't define eligible study designs</t>
  </si>
  <si>
    <t>didn't search trial/study registries, &gt;24m old, ?? expert consultation?</t>
  </si>
  <si>
    <t>didn't clearly describe intervention conditions or the comparator/CGs</t>
  </si>
  <si>
    <t>thorough for the review design/goals</t>
  </si>
  <si>
    <t>surprising given that they first searched PROSPERO for similar reviews</t>
  </si>
  <si>
    <t>"confidence"/credibility grading of the evidence</t>
  </si>
  <si>
    <t>didn't search reference lists or trial/study registries</t>
  </si>
  <si>
    <t>conducted by one researcher, and subsequently updated by a second reviewer (presumably for the second search, not for the included studies)</t>
  </si>
  <si>
    <t>no sample/population characteristics</t>
  </si>
  <si>
    <t>an old tool was used, but the quality/ROB was not clearly reported or integrated into the results</t>
  </si>
  <si>
    <t>didn't search trial/regstries, expert?, grey literature?</t>
  </si>
  <si>
    <t>didn't provide keywords</t>
  </si>
  <si>
    <t>although 1 reviewer initially screened titles to eliminate papers not on MH disorders</t>
  </si>
  <si>
    <t>not enough information on samples</t>
  </si>
  <si>
    <t>not justified/explained</t>
  </si>
  <si>
    <t>didn't provide keywords/search term structure; didn't search trial/registries, expert?, grey literature?</t>
  </si>
  <si>
    <t>25% checked</t>
  </si>
  <si>
    <t>not enough detail about sample</t>
  </si>
  <si>
    <t>COUNT: partial</t>
  </si>
  <si>
    <t>COUNT: no</t>
  </si>
  <si>
    <t>COUNT: n/a</t>
  </si>
  <si>
    <t>TOTAL</t>
  </si>
  <si>
    <t>Percent not meeting criteria</t>
  </si>
  <si>
    <t>Data not extracted</t>
  </si>
  <si>
    <t xml:space="preserve">very vague criteria given focus on adults (not adult criteria defined), no C defined,  </t>
  </si>
  <si>
    <t>no comparator</t>
  </si>
  <si>
    <t>only reported their funding</t>
  </si>
  <si>
    <t>Type of review</t>
  </si>
  <si>
    <t>Keywords/ Search strategy</t>
  </si>
  <si>
    <t>Review Design structure</t>
  </si>
  <si>
    <t>Study design types</t>
  </si>
  <si>
    <t>SCC primary category</t>
  </si>
  <si>
    <t>Transitions</t>
  </si>
  <si>
    <t>Overall effects</t>
  </si>
  <si>
    <t>overall ROB</t>
  </si>
  <si>
    <t>Sample heterogeneity</t>
  </si>
  <si>
    <t>Simple</t>
  </si>
  <si>
    <t>rapid review</t>
  </si>
  <si>
    <t>SPIDER</t>
  </si>
  <si>
    <t>negative effect (&gt;=60% of studies had negative effect)</t>
  </si>
  <si>
    <t>SR with narrative synthesis</t>
  </si>
  <si>
    <t>Methods heterogeneity</t>
  </si>
  <si>
    <t>Ineligible</t>
  </si>
  <si>
    <t>Review</t>
  </si>
  <si>
    <t>sample w/ ID</t>
  </si>
  <si>
    <t>workers</t>
  </si>
  <si>
    <t>Family</t>
  </si>
  <si>
    <t>Other</t>
  </si>
  <si>
    <t>Male %</t>
  </si>
  <si>
    <t>Male, n</t>
  </si>
  <si>
    <t>Female, n</t>
  </si>
  <si>
    <t>Age, min</t>
  </si>
  <si>
    <t>Age, max</t>
  </si>
  <si>
    <t>Age, m(sd)</t>
  </si>
  <si>
    <t>Intervention type/name</t>
  </si>
  <si>
    <t>trial type</t>
  </si>
  <si>
    <t>disability notes</t>
  </si>
  <si>
    <t>Social skills/behaviours</t>
  </si>
  <si>
    <t>Social functioning
IPR, SELSA, QSQ, WFIRS</t>
  </si>
  <si>
    <t>Atkinson-Jones 2018</t>
  </si>
  <si>
    <t>Paper</t>
  </si>
  <si>
    <t>N</t>
  </si>
  <si>
    <t>%</t>
  </si>
  <si>
    <t>Min</t>
  </si>
  <si>
    <t>Max</t>
  </si>
  <si>
    <t>mean (sd)</t>
  </si>
  <si>
    <t>positive effect for one or more measure</t>
  </si>
  <si>
    <t>negative effect  for one or more measure</t>
  </si>
  <si>
    <t>null effect  for one or more measure</t>
  </si>
  <si>
    <t>gantman 2012 IG</t>
  </si>
  <si>
    <t>gantman 2012 CG</t>
  </si>
  <si>
    <t>Ashman 2017</t>
  </si>
  <si>
    <t>Hillier 2007</t>
  </si>
  <si>
    <t>Hillier 2011</t>
  </si>
  <si>
    <t>Howlin-Yates 1999</t>
  </si>
  <si>
    <t>Laugeson 2015</t>
  </si>
  <si>
    <t>Liu 2013</t>
  </si>
  <si>
    <t>McVey 2016</t>
  </si>
  <si>
    <t>Turner-Brown 2008</t>
  </si>
  <si>
    <t>White 2015</t>
  </si>
  <si>
    <t>YES total</t>
  </si>
  <si>
    <t>NO total</t>
  </si>
  <si>
    <t>Total</t>
  </si>
  <si>
    <t>Percent yes</t>
  </si>
  <si>
    <t>Bigby 2018</t>
  </si>
  <si>
    <t>Ward 2012</t>
  </si>
  <si>
    <t>mixed methods</t>
  </si>
  <si>
    <t>Ward 2013</t>
  </si>
  <si>
    <t>Heslop (2005)</t>
  </si>
  <si>
    <t>qual</t>
  </si>
  <si>
    <t>Harlan-Simmons et al. (2001)</t>
  </si>
  <si>
    <t>"older"</t>
  </si>
  <si>
    <t>Bigby and Wiesel (2015)</t>
  </si>
  <si>
    <t>Lante et al. (2011)</t>
  </si>
  <si>
    <t>Craig and Bigby (2015)</t>
  </si>
  <si>
    <t>action</t>
  </si>
  <si>
    <t>Stancliffe et al. (2015)</t>
  </si>
  <si>
    <t>Bigby et al. (2014)</t>
  </si>
  <si>
    <t>Wilson et al. (2015)</t>
  </si>
  <si>
    <t>same sample as Stancliffe; Bigby 2014; Wilson 2013</t>
  </si>
  <si>
    <t>Wilson et al. (2013)</t>
  </si>
  <si>
    <t>Tedrick (2009)</t>
  </si>
  <si>
    <t>Harada et al. (2011)</t>
  </si>
  <si>
    <t>cross sect</t>
  </si>
  <si>
    <t>McConkey et al. (2013)</t>
  </si>
  <si>
    <t>nr (athletes from 4 teams in each of serbia, polant, ukraine, germany and Hungary)</t>
  </si>
  <si>
    <t>Darragh et al. (2016)</t>
  </si>
  <si>
    <t>Stickley et al. (2012)</t>
  </si>
  <si>
    <t>McClimens and Gordon (2009)</t>
  </si>
  <si>
    <t>Bourne 2018</t>
  </si>
  <si>
    <t>Dent-Brown 2006</t>
  </si>
  <si>
    <t>Folostina 2015</t>
  </si>
  <si>
    <t>Gardner-Hynd 2010</t>
  </si>
  <si>
    <t>Grainger 2011</t>
  </si>
  <si>
    <t>Hackett 2014</t>
  </si>
  <si>
    <t>Holloway 2011</t>
  </si>
  <si>
    <t>Jaaniste (2008)</t>
  </si>
  <si>
    <t>Jacques (2011)</t>
  </si>
  <si>
    <t>Lahad (1999)</t>
  </si>
  <si>
    <t>McAllister (2015)</t>
  </si>
  <si>
    <t>Orkibi (2014)</t>
  </si>
  <si>
    <t>Ramsden 2010</t>
  </si>
  <si>
    <t>Gaylord-Ross 1984</t>
  </si>
  <si>
    <t>18.3 (1.25)</t>
  </si>
  <si>
    <t>24.6(10.4)</t>
  </si>
  <si>
    <t>Nind 1996</t>
  </si>
  <si>
    <t>Carminati 2007</t>
  </si>
  <si>
    <t>38.3, 39.7 (8.9; 13.4</t>
  </si>
  <si>
    <t>Samuels and Stansfield 2012</t>
  </si>
  <si>
    <t>Chandler</t>
  </si>
  <si>
    <t>mueser</t>
  </si>
  <si>
    <t>valenti-Hein</t>
  </si>
  <si>
    <t>Ward X2</t>
  </si>
  <si>
    <t>Cunningham</t>
  </si>
  <si>
    <t>ROB</t>
  </si>
  <si>
    <t>M</t>
  </si>
  <si>
    <t>SD</t>
  </si>
  <si>
    <t>high</t>
  </si>
  <si>
    <t>Cao 2008</t>
  </si>
  <si>
    <t>Cao 2003</t>
  </si>
  <si>
    <t>Huang</t>
  </si>
  <si>
    <t>Lv 2010</t>
  </si>
  <si>
    <t>Sheng</t>
  </si>
  <si>
    <t>Shi</t>
  </si>
  <si>
    <t>Tang</t>
  </si>
  <si>
    <t>Tian</t>
  </si>
  <si>
    <t>Wang 1994</t>
  </si>
  <si>
    <t>zhao</t>
  </si>
  <si>
    <t>Community participation</t>
  </si>
  <si>
    <t>Social network</t>
  </si>
  <si>
    <t>Quality</t>
  </si>
  <si>
    <t>Magito-McLaughlin 2002</t>
  </si>
  <si>
    <t>quasi-experimental matched-group comparison of PCP vs control</t>
  </si>
  <si>
    <t>mod=profound ID, ASD</t>
  </si>
  <si>
    <t>10/25</t>
  </si>
  <si>
    <t>Malette</t>
  </si>
  <si>
    <t>PCP in home/community setting</t>
  </si>
  <si>
    <t>qualitative and observation</t>
  </si>
  <si>
    <t>moderate</t>
  </si>
  <si>
    <t>Canda</t>
  </si>
  <si>
    <t>Robertson</t>
  </si>
  <si>
    <t>40.25(12.4)</t>
  </si>
  <si>
    <t>No control group, pre-post design</t>
  </si>
  <si>
    <t>12/25</t>
  </si>
  <si>
    <t>Espiner</t>
  </si>
  <si>
    <t>PCP in reidential group home</t>
  </si>
  <si>
    <t>qualitative</t>
  </si>
  <si>
    <t>Moderate</t>
  </si>
  <si>
    <t>Hagner</t>
  </si>
  <si>
    <t>transition school to adulthood</t>
  </si>
  <si>
    <t>2 mild ID, 3 mod ID, 1 sev ID</t>
  </si>
  <si>
    <t>Parley</t>
  </si>
  <si>
    <t>PHP in hospital nursing care</t>
  </si>
  <si>
    <t>nurse observation</t>
  </si>
  <si>
    <t>Weak</t>
  </si>
  <si>
    <t>Bigby 2012 SR</t>
  </si>
  <si>
    <t>mod-profound ID</t>
  </si>
  <si>
    <t>Carr 1999</t>
  </si>
  <si>
    <t>Positive behaviour support</t>
  </si>
  <si>
    <t>case study</t>
  </si>
  <si>
    <t>ID with some symbolic communication</t>
  </si>
  <si>
    <t>Jensen 2001</t>
  </si>
  <si>
    <t>multicomponent intervention - functional behaviour Ax, monthly review, person-centred plan, peer review 4-hour daily community outings, functional communication training</t>
  </si>
  <si>
    <t>sev nr</t>
  </si>
  <si>
    <t>McClean 2007</t>
  </si>
  <si>
    <t>positive behaviour support</t>
  </si>
  <si>
    <t>pre-post no control gp</t>
  </si>
  <si>
    <t>2 mod, 2 sev 1 mild ID</t>
  </si>
  <si>
    <t>intensive intervention w/ PBS and PCP</t>
  </si>
  <si>
    <t>Mansell 2001</t>
  </si>
  <si>
    <t>multifaceted demonstration projec person centred plan with active support focused on home/community activity engagement</t>
  </si>
  <si>
    <t>descriptive pre-post/longitudinal</t>
  </si>
  <si>
    <t>sev ID</t>
  </si>
  <si>
    <t>DiTerlizzi 1994</t>
  </si>
  <si>
    <t>longitudinal case study</t>
  </si>
  <si>
    <t>Lowe 1996</t>
  </si>
  <si>
    <t>two community services for ppl w ID, incl intensve tailored support</t>
  </si>
  <si>
    <t>cross-sectional</t>
  </si>
  <si>
    <t>Saxby 1986</t>
  </si>
  <si>
    <t>nature of activities/interactions when visiting local amenities (e.g., shops/cafes) with staff</t>
  </si>
  <si>
    <t>sev-profound ID</t>
  </si>
  <si>
    <t>Bird 2000</t>
  </si>
  <si>
    <t>move from congregate care to specialist service, behaviour support plan</t>
  </si>
  <si>
    <t>pre=post no control gp</t>
  </si>
  <si>
    <t>3 mild ID, 2 mod ID, 1 sev ID</t>
  </si>
  <si>
    <t>residential</t>
  </si>
  <si>
    <t>Dagan 1996</t>
  </si>
  <si>
    <t>move from hospital to specialist small group home</t>
  </si>
  <si>
    <t>Non RCT with CG</t>
  </si>
  <si>
    <t>2 mod, 2 sev ID</t>
  </si>
  <si>
    <t>Felce 2000</t>
  </si>
  <si>
    <t>comparison of residential settings</t>
  </si>
  <si>
    <t>cross-sectional b/n groups</t>
  </si>
  <si>
    <t>Golding 2005</t>
  </si>
  <si>
    <t>move from NHS institution to group homes</t>
  </si>
  <si>
    <t>12 mild-mod ID</t>
  </si>
  <si>
    <t>Robertson 2004</t>
  </si>
  <si>
    <t>comparison of models of resident congregation</t>
  </si>
  <si>
    <t>Young 2006</t>
  </si>
  <si>
    <t>Comparison of instituion vs small gp homes</t>
  </si>
  <si>
    <t>mod-sev ID</t>
  </si>
  <si>
    <t>Park 2011</t>
  </si>
  <si>
    <t>SST-VR</t>
  </si>
  <si>
    <t>RCT of SST-VR vs SST-TR (TR not defined - assume Typical Reality?!)</t>
  </si>
  <si>
    <t>Rus-Calafell 2012</t>
  </si>
  <si>
    <t>Soskitrain</t>
  </si>
  <si>
    <t>case study, pre-post</t>
  </si>
  <si>
    <t>Rus-Calafell 2014</t>
  </si>
  <si>
    <t>pre-post, no CG</t>
  </si>
  <si>
    <t>Humm 2014</t>
  </si>
  <si>
    <t>Job Interview Training with Molly Porter</t>
  </si>
  <si>
    <t>RCT vs waitlist</t>
  </si>
  <si>
    <t>Peyroux 2016</t>
  </si>
  <si>
    <t>RC2S</t>
  </si>
  <si>
    <t>Adery 2018</t>
  </si>
  <si>
    <t>MASI-VR</t>
  </si>
  <si>
    <t>EFFECTS</t>
  </si>
  <si>
    <t>Broer 2011</t>
  </si>
  <si>
    <t>ind/gp meetings/interventions, monitoring</t>
  </si>
  <si>
    <t>No effect on social contacts/network, but reported to be less lonely</t>
  </si>
  <si>
    <t>Netherlands</t>
  </si>
  <si>
    <t>Huges 1999</t>
  </si>
  <si>
    <t>befriending intervention</t>
  </si>
  <si>
    <t>slight increase in network size for one person only</t>
  </si>
  <si>
    <t>Lowe 1991</t>
  </si>
  <si>
    <t>planning/support</t>
  </si>
  <si>
    <t xml:space="preserve">Non-RCT w CG, </t>
  </si>
  <si>
    <t>low proportion in contact with friends with little change during study.</t>
  </si>
  <si>
    <t>Wales</t>
  </si>
  <si>
    <t>McConnell 2008</t>
  </si>
  <si>
    <t>australian supported learning program  for mothers</t>
  </si>
  <si>
    <t>Non-RCT, no CG</t>
  </si>
  <si>
    <t>positive effects on mothers social relationships and wellbeing</t>
  </si>
  <si>
    <t>Australia</t>
  </si>
  <si>
    <t>McGaw 2002</t>
  </si>
  <si>
    <t>group sessions focused on raising social awareness and enhancing interpersonal communications/listening</t>
  </si>
  <si>
    <t>Non-RCT, IG vs CG (CG condition not defined</t>
  </si>
  <si>
    <t>64% of EG had positive change in relationships, wtih no change in CG</t>
  </si>
  <si>
    <t>England</t>
  </si>
  <si>
    <t>Ouellette 1994</t>
  </si>
  <si>
    <t>alteration to activity patterns to increase social network size</t>
  </si>
  <si>
    <t>social network size = average of 10.6 to 15.8 nonpaid contacts pre-post</t>
  </si>
  <si>
    <t>Robertson 2006</t>
  </si>
  <si>
    <t>person centred planning</t>
  </si>
  <si>
    <t>52% increase in social networks, incresaed contact with ppl in social network</t>
  </si>
  <si>
    <t>social skills training for healthy meaningful relationships</t>
  </si>
  <si>
    <t xml:space="preserve">pre-post, process evaluation, </t>
  </si>
  <si>
    <t>positive effect on social network size</t>
  </si>
  <si>
    <t>5/9 had positive effects</t>
  </si>
  <si>
    <t>Bota 2014</t>
  </si>
  <si>
    <t>physical activity/sports participation</t>
  </si>
  <si>
    <t>Bould 2018</t>
  </si>
  <si>
    <t>dog walking programme to facilitate convivial encounters</t>
  </si>
  <si>
    <t>Cihak 2014</t>
  </si>
  <si>
    <t>communication skills: email use</t>
  </si>
  <si>
    <t>case, multiple baseline/probe</t>
  </si>
  <si>
    <t>Davies 2015</t>
  </si>
  <si>
    <t>communication skills: using accessible interface for Facebook</t>
  </si>
  <si>
    <t>Gilson 2016</t>
  </si>
  <si>
    <t>social skills training with covert coaching</t>
  </si>
  <si>
    <t>Gibson 2018</t>
  </si>
  <si>
    <t>social skill training: video‐based instruction ONEder App (SpecialNeedsWare,
2016) on the individualized employment‐related social behaviours (ERSB)</t>
  </si>
  <si>
    <t>Iconaru 2014</t>
  </si>
  <si>
    <t>training module for developing social and civic competencies</t>
  </si>
  <si>
    <t>Schneider 2016</t>
  </si>
  <si>
    <t>transition and social skills: Community Employment and Education (ACEE)</t>
  </si>
  <si>
    <t>Shpiegelman 2014</t>
  </si>
  <si>
    <t>social media use</t>
  </si>
  <si>
    <t>Walsh 2018</t>
  </si>
  <si>
    <t>Walker Social Skills curriculum (ACCESS program)</t>
  </si>
  <si>
    <t>Wilson 2017</t>
  </si>
  <si>
    <t>structured social group participation</t>
  </si>
  <si>
    <t>25th</t>
  </si>
  <si>
    <t>75th</t>
  </si>
  <si>
    <t>Ma 2019</t>
  </si>
  <si>
    <t>Capacity Ax</t>
  </si>
  <si>
    <t>Capacity effect</t>
  </si>
  <si>
    <t>Participation Ax</t>
  </si>
  <si>
    <t>Participation effect</t>
  </si>
  <si>
    <t>QoL Ax</t>
  </si>
  <si>
    <t>QoL effect</t>
  </si>
  <si>
    <t>Symptoms Ax</t>
  </si>
  <si>
    <t>Symptoms effect</t>
  </si>
  <si>
    <t>Hasson-Ohayon 2007</t>
  </si>
  <si>
    <t>social skills training and psychoeducation</t>
  </si>
  <si>
    <t>vs TAU</t>
  </si>
  <si>
    <t>MSPSS</t>
  </si>
  <si>
    <t>No effect on isolation</t>
  </si>
  <si>
    <t>Silverman 2014</t>
  </si>
  <si>
    <t>psychoeducation using musical therapy</t>
  </si>
  <si>
    <t>vs active treatments</t>
  </si>
  <si>
    <t>mixed effects: only positive effect b/n music education vs music w/out education on friendship</t>
  </si>
  <si>
    <t>Boevink 2016</t>
  </si>
  <si>
    <t>supported socialisation: Toward Recovery, Empowerment and Experiential Expertise (TREE)</t>
  </si>
  <si>
    <t>de Jong-Gierveld Loneliness Scale</t>
  </si>
  <si>
    <t>no effect on loneliness</t>
  </si>
  <si>
    <t>Zang 2014</t>
  </si>
  <si>
    <t>narrative exposure therapy vs narrative exposure therapy revised</t>
  </si>
  <si>
    <t>vs waitlist</t>
  </si>
  <si>
    <t>positive effect for both treatment groups</t>
  </si>
  <si>
    <t>Zang 2013</t>
  </si>
  <si>
    <t>no effect b/n groups</t>
  </si>
  <si>
    <t>Gawrysiak 2009</t>
  </si>
  <si>
    <t>behavioural activation vs no Rx CG</t>
  </si>
  <si>
    <t>vs inactive CG</t>
  </si>
  <si>
    <t>Conoley 1985</t>
  </si>
  <si>
    <t>cognition (reframing) vs waitlist CG</t>
  </si>
  <si>
    <t>UCLA loneliness scale; Causal Dimensions Scale</t>
  </si>
  <si>
    <t>no effect</t>
  </si>
  <si>
    <t>Bjorkman 2002</t>
  </si>
  <si>
    <t>social skills training vs TAU</t>
  </si>
  <si>
    <t>abbreviated ISSI</t>
  </si>
  <si>
    <t>Mendelson 2013</t>
  </si>
  <si>
    <t>cognition (home visit and Mother and Babies cours) vs TAU</t>
  </si>
  <si>
    <t>ISEL</t>
  </si>
  <si>
    <t>Kaplan 2011</t>
  </si>
  <si>
    <t>supported socialisation: peer support</t>
  </si>
  <si>
    <t>MOS-SSS</t>
  </si>
  <si>
    <t>Rotondi 2005</t>
  </si>
  <si>
    <t>psychoeducation</t>
  </si>
  <si>
    <t>informational and emotional support subscales of Krause and Markindes instrument</t>
  </si>
  <si>
    <t>O'Mahen 2014</t>
  </si>
  <si>
    <t>psychoeducation and supported socialisation (Netmums Helping with Depression)</t>
  </si>
  <si>
    <t>Social Provision Scale</t>
  </si>
  <si>
    <t>Interian 2016</t>
  </si>
  <si>
    <t>psychoeducation and changing cognitions</t>
  </si>
  <si>
    <t>family subscale of MSPSS</t>
  </si>
  <si>
    <t>positive effect: increase in perceived family support</t>
  </si>
  <si>
    <t>Atkinson 1996</t>
  </si>
  <si>
    <t xml:space="preserve"> vs waitlist</t>
  </si>
  <si>
    <t>social network schedule (SNS)</t>
  </si>
  <si>
    <t>increase in SNS size and confidants</t>
  </si>
  <si>
    <t>measured, tool not listed</t>
  </si>
  <si>
    <t>Hasson-Ohayon 2014</t>
  </si>
  <si>
    <t>SCIT</t>
  </si>
  <si>
    <t>vs active control (social mentoring only)</t>
  </si>
  <si>
    <t>SFS (socio-engagement and interpersonal-communication 
subscales of the Social Functioning Scale)</t>
  </si>
  <si>
    <t>positive effect on engagement, but not interpersonal communication</t>
  </si>
  <si>
    <t>Boen 2012</t>
  </si>
  <si>
    <t>supported socialisation in senior centre group program</t>
  </si>
  <si>
    <t>Oslo-3 Social Support Scale</t>
  </si>
  <si>
    <t>positive effect for TG vs CG</t>
  </si>
  <si>
    <t>Solomon 1995</t>
  </si>
  <si>
    <t>same as other solomon study</t>
  </si>
  <si>
    <t xml:space="preserve">supported socialisation </t>
  </si>
  <si>
    <t>vs active control</t>
  </si>
  <si>
    <t xml:space="preserve"> </t>
  </si>
  <si>
    <t>family/social contacts; Pattison's Social Network Scale</t>
  </si>
  <si>
    <t>no effect on social networks</t>
  </si>
  <si>
    <t>aberg-wistedt 1995</t>
  </si>
  <si>
    <t>psychoeducation/social skills training w intensive case managemer</t>
  </si>
  <si>
    <t>number of people in social life</t>
  </si>
  <si>
    <t>positive effect (increase in social network for IG, decrease for CG)</t>
  </si>
  <si>
    <t>Stravynski 1982</t>
  </si>
  <si>
    <t>social skills training</t>
  </si>
  <si>
    <t>objective social isolation subscale of SSIAM</t>
  </si>
  <si>
    <t>no effect (both groups had lower isolation)</t>
  </si>
  <si>
    <t>Terzian 2013</t>
  </si>
  <si>
    <t>supported socialisation/social network intervention</t>
  </si>
  <si>
    <t xml:space="preserve">social network size </t>
  </si>
  <si>
    <t>positiive effect on social network size for IG</t>
  </si>
  <si>
    <t>supported socialisation and case management</t>
  </si>
  <si>
    <t>Pattison's Social Network</t>
  </si>
  <si>
    <t>No effect on social networks</t>
  </si>
  <si>
    <t>Marzillier 1976</t>
  </si>
  <si>
    <t>social skill training with Systematic Desensitisation VS social skills training vs waitlist</t>
  </si>
  <si>
    <t>vs active control AND waitlist</t>
  </si>
  <si>
    <t>Revised-Social Diary and Standardised interview Schedule</t>
  </si>
  <si>
    <t>positive effect on social contacts vs waitlist CG but not b/n IGs</t>
  </si>
  <si>
    <t>Rivera 2007</t>
  </si>
  <si>
    <t>supported socialisation with peer support vs non-peer support vs TAU</t>
  </si>
  <si>
    <t>vs active control and TAU</t>
  </si>
  <si>
    <t>modified Pattison Network Inventory</t>
  </si>
  <si>
    <t>positive effect on social contacts</t>
  </si>
  <si>
    <t>Pallathra 2019</t>
  </si>
  <si>
    <t>Baker-Ericzén (2017)</t>
  </si>
  <si>
    <t>Supported Employment,
Comprehensive
Cognitive Enhancement,
and Social Skills
(SUCCESS)</t>
  </si>
  <si>
    <t>Bölte (2002)</t>
  </si>
  <si>
    <t>--</t>
  </si>
  <si>
    <t>Bonete (2014)</t>
  </si>
  <si>
    <t>Interpersonal problem solving for workplace adaptation program</t>
  </si>
  <si>
    <t>Cunningham (2016)</t>
  </si>
  <si>
    <t>Relationship Enhancement</t>
  </si>
  <si>
    <t>Eack (2013)</t>
  </si>
  <si>
    <t>Cognitive Enhancement THerapy</t>
  </si>
  <si>
    <t>Eack 2018</t>
  </si>
  <si>
    <t>Eckman 2015</t>
  </si>
  <si>
    <t>CBT w visualisation</t>
  </si>
  <si>
    <t>Faja 2008</t>
  </si>
  <si>
    <t>Faja 2012</t>
  </si>
  <si>
    <t>STAART</t>
  </si>
  <si>
    <t>Fullerton 1999</t>
  </si>
  <si>
    <t>Putting Feet on my dreams</t>
  </si>
  <si>
    <t>Gantman 2011</t>
  </si>
  <si>
    <t>PEERS-YA</t>
  </si>
  <si>
    <t>Golan</t>
  </si>
  <si>
    <t>Hesselmark</t>
  </si>
  <si>
    <t>CBT</t>
  </si>
  <si>
    <t>Aspirations</t>
  </si>
  <si>
    <t>Howlin 1999</t>
  </si>
  <si>
    <t>Kandalaft 2012</t>
  </si>
  <si>
    <t>VR Social Cognition Training</t>
  </si>
  <si>
    <t>Kiep 2014</t>
  </si>
  <si>
    <t>Mindfulness based therapy for ppl on the Autism Spectrum</t>
  </si>
  <si>
    <t>Koch 2014</t>
  </si>
  <si>
    <t>Dance movement therapy</t>
  </si>
  <si>
    <t>Koegel 2013</t>
  </si>
  <si>
    <t>Koegel 2015</t>
  </si>
  <si>
    <t>Koegel 2016</t>
  </si>
  <si>
    <t>Koehne 2015</t>
  </si>
  <si>
    <t>Imitation and Syncrhonisation based dance/movement</t>
  </si>
  <si>
    <t>Laugeson</t>
  </si>
  <si>
    <t>Lovett 2014</t>
  </si>
  <si>
    <t>Mason 2012</t>
  </si>
  <si>
    <t>McGillivray 2014</t>
  </si>
  <si>
    <t>Think Well, Feel Well and Be Well</t>
  </si>
  <si>
    <t>Morgan 2014</t>
  </si>
  <si>
    <t>Interview Skills curriculum</t>
  </si>
  <si>
    <t>Palmen 2008</t>
  </si>
  <si>
    <t>Pugliese 2013</t>
  </si>
  <si>
    <t>Problem Solving Skills 101</t>
  </si>
  <si>
    <t>Retherford 2015</t>
  </si>
  <si>
    <t>Camp Campus</t>
  </si>
  <si>
    <t>Saban-Bezalel 2015</t>
  </si>
  <si>
    <t>Sizoo 2017</t>
  </si>
  <si>
    <t>CBT and Mindfulness-based stress reduction</t>
  </si>
  <si>
    <t>Smith 2014</t>
  </si>
  <si>
    <t>VR job interview training</t>
  </si>
  <si>
    <t>Spain 2017</t>
  </si>
  <si>
    <t>Group CBT</t>
  </si>
  <si>
    <t>Spek 2013</t>
  </si>
  <si>
    <t>MBT-AS</t>
  </si>
  <si>
    <t>Strickland 2013</t>
  </si>
  <si>
    <t>JobTIPS</t>
  </si>
  <si>
    <t>Trepagnier 2011</t>
  </si>
  <si>
    <t>Turner-Brown (2008)</t>
  </si>
  <si>
    <t>Social Cognition and Interaction training for HFA Adults</t>
  </si>
  <si>
    <t>White 2016</t>
  </si>
  <si>
    <t>Brain-Computer interface for ASD</t>
  </si>
  <si>
    <t>Tobin 2014</t>
  </si>
  <si>
    <t>Gantman 2012</t>
  </si>
  <si>
    <t>PEERS</t>
  </si>
  <si>
    <t>Howlin and Yates 1999</t>
  </si>
  <si>
    <t>Social Skills Group</t>
  </si>
  <si>
    <t>Jantz 2011 - Quant component</t>
  </si>
  <si>
    <t>Support Group</t>
  </si>
  <si>
    <t>Jantz 2011 - qual component</t>
  </si>
  <si>
    <t>Sperry 2005</t>
  </si>
  <si>
    <t>TEACCH group members</t>
  </si>
  <si>
    <t>Garcıa-Villamisar 2010</t>
  </si>
  <si>
    <t>Leisure program</t>
  </si>
  <si>
    <t>Koch 2015</t>
  </si>
  <si>
    <t>Fixing the mirrors</t>
  </si>
  <si>
    <t>cohort</t>
  </si>
  <si>
    <t>IQ&gt;85</t>
  </si>
  <si>
    <t>Koehne 2016</t>
  </si>
  <si>
    <t>fostering social congnition through imitation and synchronization-based dance</t>
  </si>
  <si>
    <t>Controlled study</t>
  </si>
  <si>
    <t>Hildebrand 2016</t>
  </si>
  <si>
    <t>"we dance and find each other"</t>
  </si>
  <si>
    <t>IQ&lt;70</t>
  </si>
  <si>
    <t>Mastrominico 2018</t>
  </si>
  <si>
    <t>Dance Movement therapy</t>
  </si>
  <si>
    <t>RCT</t>
  </si>
  <si>
    <t>Mentees</t>
  </si>
  <si>
    <t>Mentors</t>
  </si>
  <si>
    <t>Walker 2013</t>
  </si>
  <si>
    <t>Armstrong 1995</t>
  </si>
  <si>
    <t>Besio 1993</t>
  </si>
  <si>
    <t>Carlston 2001</t>
  </si>
  <si>
    <t>Chinman 2008</t>
  </si>
  <si>
    <t>Colson 2009</t>
  </si>
  <si>
    <t>Davidson 2001</t>
  </si>
  <si>
    <t>Dixon 1994</t>
  </si>
  <si>
    <t>Doherty 2004</t>
  </si>
  <si>
    <t>Fisk 2000</t>
  </si>
  <si>
    <t>Gates 2007</t>
  </si>
  <si>
    <t>Grant 2010</t>
  </si>
  <si>
    <t>Mancine 2005, 2009</t>
  </si>
  <si>
    <t>Manning 1996</t>
  </si>
  <si>
    <t>Meehan 2002</t>
  </si>
  <si>
    <t>Moll 2009</t>
  </si>
  <si>
    <t>Mowbray 1996</t>
  </si>
  <si>
    <t>Paulson 1999999</t>
  </si>
  <si>
    <t>Pudlinski 1998, 2001</t>
  </si>
  <si>
    <t>Richard 2009</t>
  </si>
  <si>
    <t>Salyers 200009</t>
  </si>
  <si>
    <t>Silver 2004</t>
  </si>
  <si>
    <t>Straughan 2006</t>
  </si>
  <si>
    <t>Truman 2002</t>
  </si>
  <si>
    <t>Yuen 2003</t>
  </si>
  <si>
    <t>Mowbray 1998</t>
  </si>
  <si>
    <t>Nguyen 2020</t>
  </si>
  <si>
    <t>Ames 2016</t>
  </si>
  <si>
    <t>Ashburner 2018</t>
  </si>
  <si>
    <t>Curtin 2016</t>
  </si>
  <si>
    <t>Gillespie-Lynch 2017</t>
  </si>
  <si>
    <t>Hamilton 2016</t>
  </si>
  <si>
    <t>Hotez 2018</t>
  </si>
  <si>
    <t>Martin  2017</t>
  </si>
  <si>
    <t>Ness 2013</t>
  </si>
  <si>
    <t>Roberts 2017</t>
  </si>
  <si>
    <t>Siew 2017</t>
  </si>
  <si>
    <t>Maujean 2015</t>
  </si>
  <si>
    <t>Berget 2008, 2011</t>
  </si>
  <si>
    <t>psychiatric disorders</t>
  </si>
  <si>
    <t>Chu 2009</t>
  </si>
  <si>
    <t>Pedersen 2012</t>
  </si>
  <si>
    <t>Villalta-Gil 2009</t>
  </si>
  <si>
    <t>Lindsay 2019</t>
  </si>
  <si>
    <t>Mechling 24 2010</t>
  </si>
  <si>
    <t>Simulation - computer based video instruction to ride city bus</t>
  </si>
  <si>
    <t>case study, multiple probe</t>
  </si>
  <si>
    <t>moderate ID</t>
  </si>
  <si>
    <t>Courbois 26 2013</t>
  </si>
  <si>
    <t>3D VIDIA VIRTOOLS</t>
  </si>
  <si>
    <t>Non-random controlled study</t>
  </si>
  <si>
    <t>Down syndrome</t>
  </si>
  <si>
    <t>Davis 41 2014</t>
  </si>
  <si>
    <t>excluded b/c only navigation within residential setting</t>
  </si>
  <si>
    <t>Mengue-Topio 31 2011</t>
  </si>
  <si>
    <t>NRCT</t>
  </si>
  <si>
    <t>ID with non disabled CG</t>
  </si>
  <si>
    <t>France</t>
  </si>
  <si>
    <t>Purser 37 2015</t>
  </si>
  <si>
    <t>VR environment maze</t>
  </si>
  <si>
    <t>non-random controlled study</t>
  </si>
  <si>
    <t>Down Syndrome</t>
  </si>
  <si>
    <t>McMahon 29 2015</t>
  </si>
  <si>
    <t>location=based augmnented reality navigation using google</t>
  </si>
  <si>
    <t>ID and ASD</t>
  </si>
  <si>
    <t>McMahon 30 2015</t>
  </si>
  <si>
    <t>google maps navigation</t>
  </si>
  <si>
    <t>ID</t>
  </si>
  <si>
    <t>Smith 27 2017</t>
  </si>
  <si>
    <t>iphone app combining google maps w augmented reality for RT navigation prompts</t>
  </si>
  <si>
    <t>Gomez 45 2014</t>
  </si>
  <si>
    <t>Apps/PDAs - AssisT-OUT adapts to user in route calculation, instructions and interface design</t>
  </si>
  <si>
    <t>cognitive disability</t>
  </si>
  <si>
    <t>Stock 42 2011</t>
  </si>
  <si>
    <t>Apps/PDAs - discovery desktop and visual assistant apps</t>
  </si>
  <si>
    <t>down syndrom</t>
  </si>
  <si>
    <t>Davies 33 2010</t>
  </si>
  <si>
    <t>Apps/PDAs - wayfinder integrated GPS software</t>
  </si>
  <si>
    <t>Mechling 25 2011</t>
  </si>
  <si>
    <t>Apps/PDAs - PDA with prompts</t>
  </si>
  <si>
    <t>Mod ID</t>
  </si>
  <si>
    <t>Kelley 20 2013</t>
  </si>
  <si>
    <t>Multimedia - digital photographs of landmarks to navigate using video iPod</t>
  </si>
  <si>
    <t>IDD</t>
  </si>
  <si>
    <t>min</t>
  </si>
  <si>
    <t>min: 18, max: 32</t>
  </si>
  <si>
    <t>max</t>
  </si>
  <si>
    <t>Q1</t>
  </si>
  <si>
    <t>spain/france</t>
  </si>
  <si>
    <t>1 each</t>
  </si>
  <si>
    <t>Seewooruttun 2014</t>
  </si>
  <si>
    <t>Campbell 2003</t>
  </si>
  <si>
    <t>student teachers</t>
  </si>
  <si>
    <t>australia</t>
  </si>
  <si>
    <t>non-RCT pre-post, no CG</t>
  </si>
  <si>
    <t>MacDonald 1999</t>
  </si>
  <si>
    <t>students</t>
  </si>
  <si>
    <t>canada</t>
  </si>
  <si>
    <t>within pre=post</t>
  </si>
  <si>
    <t>Melville 2006</t>
  </si>
  <si>
    <t>nurses</t>
  </si>
  <si>
    <t>uk</t>
  </si>
  <si>
    <t>3 group, incl CG</t>
  </si>
  <si>
    <t>Rae 2011</t>
  </si>
  <si>
    <t>teachers</t>
  </si>
  <si>
    <t>Wong 2008</t>
  </si>
  <si>
    <t>residential staff</t>
  </si>
  <si>
    <t>honk kong</t>
  </si>
  <si>
    <t>non-RCT with CG</t>
  </si>
  <si>
    <t>Bailey 2001</t>
  </si>
  <si>
    <t>police officers</t>
  </si>
  <si>
    <t>non-RCT, CG (?)</t>
  </si>
  <si>
    <t>Adler 2005</t>
  </si>
  <si>
    <t>optometrists</t>
  </si>
  <si>
    <t>non-RCT, CG (no practical Rx)</t>
  </si>
  <si>
    <t>Freudenthal 2010</t>
  </si>
  <si>
    <t>healthcare students</t>
  </si>
  <si>
    <t>usa</t>
  </si>
  <si>
    <t>mixed</t>
  </si>
  <si>
    <t>Hall 1996</t>
  </si>
  <si>
    <t>medical students</t>
  </si>
  <si>
    <t>Hall 1999</t>
  </si>
  <si>
    <t>psychology undergrads</t>
  </si>
  <si>
    <t>three group comparison, incl CG</t>
  </si>
  <si>
    <t>Iacono 2011</t>
  </si>
  <si>
    <t>Kobe 1995</t>
  </si>
  <si>
    <t>Li 2013</t>
  </si>
  <si>
    <t>college students</t>
  </si>
  <si>
    <t>china</t>
  </si>
  <si>
    <t>nonRCT with CG</t>
  </si>
  <si>
    <t>Nosse 1991</t>
  </si>
  <si>
    <t>non-RCT pre-post, CG</t>
  </si>
  <si>
    <t>Rimmerman 2000</t>
  </si>
  <si>
    <t>israel</t>
  </si>
  <si>
    <t>non-RCT gropu comparisons</t>
  </si>
  <si>
    <t>Rober 1990a and 1990b</t>
  </si>
  <si>
    <t>volunteers</t>
  </si>
  <si>
    <t>within pre-post</t>
  </si>
  <si>
    <t>Sharma 2006</t>
  </si>
  <si>
    <t>qualittive</t>
  </si>
  <si>
    <t>Tracy 2008</t>
  </si>
  <si>
    <t>Varughese 2010</t>
  </si>
  <si>
    <t>general population</t>
  </si>
  <si>
    <t>non-RCT, CG</t>
  </si>
  <si>
    <t>Varughese 2011</t>
  </si>
  <si>
    <t>non=RCT CG</t>
  </si>
  <si>
    <t>non-RCT active CG</t>
  </si>
  <si>
    <t>Clinicians or clinical trainees</t>
  </si>
  <si>
    <t>hong kong/china</t>
  </si>
  <si>
    <t>other students</t>
  </si>
  <si>
    <t>general population, volunteers</t>
  </si>
  <si>
    <t>non-RCT, no CG (pre-post)</t>
  </si>
  <si>
    <t>teachers/trainee teachers</t>
  </si>
  <si>
    <t>Bondar 2020</t>
  </si>
  <si>
    <t>Heller 2004</t>
  </si>
  <si>
    <t>exercise and health education program, 3 X 1 hr per week</t>
  </si>
  <si>
    <t>RCT, CG: no training</t>
  </si>
  <si>
    <t>Down syndrome and mild-mod ID</t>
  </si>
  <si>
    <t>Marks 2013</t>
  </si>
  <si>
    <t>community based organisation delivering 1hr X3 per week health education program</t>
  </si>
  <si>
    <t>RCT, CG: lag</t>
  </si>
  <si>
    <t>mild-mod ID</t>
  </si>
  <si>
    <t>Melville 2015 and Matthews, 2016</t>
  </si>
  <si>
    <t>community-based walking intervention "Walk Well"</t>
  </si>
  <si>
    <t>RCT, CG: no Rx</t>
  </si>
  <si>
    <t>mild, mod and sev ID</t>
  </si>
  <si>
    <t>Perez-Cruzado 2016</t>
  </si>
  <si>
    <t>multimodal intervention of PA and education</t>
  </si>
  <si>
    <t>non-RCT, no CG</t>
  </si>
  <si>
    <t>mild ID</t>
  </si>
  <si>
    <t>Tomporowski 1987</t>
  </si>
  <si>
    <t>Physical fitness group and Attention CG who received speical academic and social skills education program. Both groups received receptive language training</t>
  </si>
  <si>
    <t>RCT, CG: placebo tablets</t>
  </si>
  <si>
    <t>Tomporowski 1985</t>
  </si>
  <si>
    <t>physical activity group (running/jogging, callisthenics, circuit training) 3 h daily 5 days week, plus training in social skills and supplements</t>
  </si>
  <si>
    <t>Lante</t>
  </si>
  <si>
    <t>creating a sporting chance program: exercise, sports and active recreation in community setting</t>
  </si>
  <si>
    <t>Lynnes 2009</t>
  </si>
  <si>
    <t>Special Olymipics participants in BC, Canada</t>
  </si>
  <si>
    <t>Hutzler 2010</t>
  </si>
  <si>
    <t>Temple 2007</t>
  </si>
  <si>
    <t>day-care centre</t>
  </si>
  <si>
    <t>Shapiro 2003</t>
  </si>
  <si>
    <t>Special olympics participation</t>
  </si>
  <si>
    <t>Harada 2009</t>
  </si>
  <si>
    <t>Dykens &amp; Cohen</t>
  </si>
  <si>
    <t>IQ mean 59</t>
  </si>
  <si>
    <t>Farrell 2004</t>
  </si>
  <si>
    <t>Q&lt;70</t>
  </si>
  <si>
    <t>Frey 2005</t>
  </si>
  <si>
    <t>mild IQ</t>
  </si>
  <si>
    <t>Carmeli 2008</t>
  </si>
  <si>
    <t>exercise group</t>
  </si>
  <si>
    <t>not define</t>
  </si>
  <si>
    <t>Riggen 1993</t>
  </si>
  <si>
    <t>special olympics: unified vs segregated vs control</t>
  </si>
  <si>
    <t>no defined</t>
  </si>
  <si>
    <t>exercise programme including health &amp; nutrition education</t>
  </si>
  <si>
    <t>RCT, CG: TAU</t>
  </si>
  <si>
    <t>Tint 2017</t>
  </si>
  <si>
    <t>Glidden 2011</t>
  </si>
  <si>
    <t>traditional segregated SO participation</t>
  </si>
  <si>
    <t xml:space="preserve">Cross-sectional </t>
  </si>
  <si>
    <t>ID sev not defined</t>
  </si>
  <si>
    <t>USa</t>
  </si>
  <si>
    <t>traditional SO basketball</t>
  </si>
  <si>
    <t>Hassan 2012</t>
  </si>
  <si>
    <t>unified SO participation</t>
  </si>
  <si>
    <t>QL</t>
  </si>
  <si>
    <t>serbia, poland, ukraine, germany and hungary</t>
  </si>
  <si>
    <t>Valkova 1996 T</t>
  </si>
  <si>
    <t>Valkova 1996</t>
  </si>
  <si>
    <t>Czech republic</t>
  </si>
  <si>
    <t>Valkova 1998 T</t>
  </si>
  <si>
    <t>Valkova 1998</t>
  </si>
  <si>
    <t>Cohort study</t>
  </si>
  <si>
    <t>Werner 2015 T</t>
  </si>
  <si>
    <t>Werner 2015</t>
  </si>
  <si>
    <t>Marks 2010</t>
  </si>
  <si>
    <t>CS</t>
  </si>
  <si>
    <t>SO participation (not clear if unified/traditional)</t>
  </si>
  <si>
    <t>Ghasemia 2012</t>
  </si>
  <si>
    <t>nrct, cg</t>
  </si>
  <si>
    <t>iran</t>
  </si>
  <si>
    <t>Goodwin 2006</t>
  </si>
  <si>
    <t>Weiss 2008</t>
  </si>
  <si>
    <t>case series</t>
  </si>
  <si>
    <t>Weiss 2003</t>
  </si>
  <si>
    <t>cross sectional</t>
  </si>
  <si>
    <t>Wilhite 1992</t>
  </si>
  <si>
    <t>McConkey 2013</t>
  </si>
  <si>
    <t>Rosegard 2001</t>
  </si>
  <si>
    <t>Wilski 2012</t>
  </si>
  <si>
    <t>Tedrick 2009</t>
  </si>
  <si>
    <t>Cross sectional</t>
  </si>
  <si>
    <t>Canada</t>
  </si>
  <si>
    <t>Case series</t>
  </si>
  <si>
    <t>Qualitative</t>
  </si>
  <si>
    <t>Hallett 2019</t>
  </si>
  <si>
    <t>Elliott 1994</t>
  </si>
  <si>
    <t>within subject, pre-post</t>
  </si>
  <si>
    <t>Garcia-Villamisar 2010</t>
  </si>
  <si>
    <t>NRCT, waitlist control</t>
  </si>
  <si>
    <t>Mateos-Moreno 2013</t>
  </si>
  <si>
    <t>NRCT, CG</t>
  </si>
  <si>
    <t>Firth 2015</t>
  </si>
  <si>
    <t>Abdel-Baki 2013</t>
  </si>
  <si>
    <t>Acil 2008</t>
  </si>
  <si>
    <t>Heggelund 2011</t>
  </si>
  <si>
    <t>Marzolini 2009</t>
  </si>
  <si>
    <t xml:space="preserve">Marzolini 2009 </t>
  </si>
  <si>
    <t>Scheewe 2013a, 2013b, 2012</t>
  </si>
  <si>
    <t>Heggelund 2012</t>
  </si>
  <si>
    <t>Behere 2011</t>
  </si>
  <si>
    <t>Duraiswamy 2007</t>
  </si>
  <si>
    <t>Manjunath 2013</t>
  </si>
  <si>
    <t>Varambally 2012</t>
  </si>
  <si>
    <t>Battaglia 2013</t>
  </si>
  <si>
    <t>Firth 2016</t>
  </si>
  <si>
    <t>Bassilios et al. 2014</t>
  </si>
  <si>
    <t>Carpiniello et al. 2013</t>
  </si>
  <si>
    <t>Deighton et al. 2014</t>
  </si>
  <si>
    <t>Faulkner et al. 2007</t>
  </si>
  <si>
    <t>Firth et al. 2016</t>
  </si>
  <si>
    <t>Fraser et al. 2015</t>
  </si>
  <si>
    <t>Gorczynski et al. 2010</t>
  </si>
  <si>
    <t>Kane et al. 2012</t>
  </si>
  <si>
    <t>Klingaman et al. 2014</t>
  </si>
  <si>
    <t>Sylvia et al. 2009</t>
  </si>
  <si>
    <t>Ussher et al. 2007</t>
  </si>
  <si>
    <t>Wynaden et al. 2012</t>
  </si>
  <si>
    <t>Masi 2011</t>
  </si>
  <si>
    <t>COUNTRY</t>
  </si>
  <si>
    <t>ES (95%CI)</t>
  </si>
  <si>
    <t>Petryshen 2001</t>
  </si>
  <si>
    <t>-0.59 (-0.88, -0.30)</t>
  </si>
  <si>
    <t>single group pre-post</t>
  </si>
  <si>
    <t>Sorenson 2003</t>
  </si>
  <si>
    <t>-4.81 (-7.09, -2.53)</t>
  </si>
  <si>
    <t>Fokkema 2007</t>
  </si>
  <si>
    <t>0 (-0.55, 0.55)</t>
  </si>
  <si>
    <t>Rosen 1982</t>
  </si>
  <si>
    <t>georgia - europe</t>
  </si>
  <si>
    <t>-0.37 (-0.89, 0.15)</t>
  </si>
  <si>
    <t>-0.32 (-0.96, 0.32)</t>
  </si>
  <si>
    <t>Morrow-Howell 1998</t>
  </si>
  <si>
    <t>-0.09 (-0.59, 0.41)</t>
  </si>
  <si>
    <t>Williams 2004</t>
  </si>
  <si>
    <t>-0.36 (-0.64, -0.08)</t>
  </si>
  <si>
    <t>RCt</t>
  </si>
  <si>
    <t>Soundy 2014</t>
  </si>
  <si>
    <t>Falkner 1999</t>
  </si>
  <si>
    <t>Sandel 1982</t>
  </si>
  <si>
    <t>Fogarty 2005</t>
  </si>
  <si>
    <t>Johnstone 2009</t>
  </si>
  <si>
    <t>Weissman 2006</t>
  </si>
  <si>
    <t>Leutwyler 2013</t>
  </si>
  <si>
    <t>Gorczynski 2013</t>
  </si>
  <si>
    <t>Roberts 2013</t>
  </si>
  <si>
    <t>Leutwyler 2012</t>
  </si>
  <si>
    <t>Happell 2012</t>
  </si>
  <si>
    <t>Hedlund 2013</t>
  </si>
  <si>
    <t>Quirk 2020</t>
  </si>
  <si>
    <t>Bizub 27 2003</t>
  </si>
  <si>
    <t>Carless 28 2007</t>
  </si>
  <si>
    <t>Carless 29 2004</t>
  </si>
  <si>
    <t>Carless 30 2008</t>
  </si>
  <si>
    <t>Carless 31 2008</t>
  </si>
  <si>
    <t>Carless 32 2012</t>
  </si>
  <si>
    <t>Carless 13 2008</t>
  </si>
  <si>
    <t>Crone 33 2007</t>
  </si>
  <si>
    <t>Evans 34 2017</t>
  </si>
  <si>
    <t>Faulkner 35 1999</t>
  </si>
  <si>
    <t>Graham 36 2017</t>
  </si>
  <si>
    <t>Hodgson 37 2011</t>
  </si>
  <si>
    <t>Hoffman 38 2013</t>
  </si>
  <si>
    <t>Irving 39 2003</t>
  </si>
  <si>
    <t>Wardig 40 2013</t>
  </si>
  <si>
    <t>Sweden</t>
  </si>
  <si>
    <t>Yarborough 41 2016</t>
  </si>
  <si>
    <t>McCann 2019</t>
  </si>
  <si>
    <t>Dukes 2009</t>
  </si>
  <si>
    <t>Ireland</t>
  </si>
  <si>
    <t>Gardiner 2009</t>
  </si>
  <si>
    <t>Garwood 2000</t>
  </si>
  <si>
    <t>Gonzalvez 2018</t>
  </si>
  <si>
    <t>Graff 27</t>
  </si>
  <si>
    <t>Hayashi 28</t>
  </si>
  <si>
    <t>japan</t>
  </si>
  <si>
    <t>Hickson 34</t>
  </si>
  <si>
    <t>Khemka 29</t>
  </si>
  <si>
    <t>Kemka 36</t>
  </si>
  <si>
    <t>Lee 30</t>
  </si>
  <si>
    <t>Sala 2019</t>
  </si>
  <si>
    <t>design</t>
  </si>
  <si>
    <t>quality</t>
  </si>
  <si>
    <t>Zylla 1981</t>
  </si>
  <si>
    <t>mb</t>
  </si>
  <si>
    <t>w</t>
  </si>
  <si>
    <t>Penny 1982</t>
  </si>
  <si>
    <t>nr-pp</t>
  </si>
  <si>
    <t>Robinson 1984</t>
  </si>
  <si>
    <t>qe</t>
  </si>
  <si>
    <t>Lindsay 1992, 1994</t>
  </si>
  <si>
    <t>Caspar 2001</t>
  </si>
  <si>
    <t>Wells 2012</t>
  </si>
  <si>
    <t>Foxx 1984</t>
  </si>
  <si>
    <t>McDermott 1994</t>
  </si>
  <si>
    <t>McDermott 1999</t>
  </si>
  <si>
    <t>Mueser 1987</t>
  </si>
  <si>
    <t>cct</t>
  </si>
  <si>
    <t>Haseltine 1990</t>
  </si>
  <si>
    <t>Valentini-Hein 1994</t>
  </si>
  <si>
    <t>m</t>
  </si>
  <si>
    <t>Lumley 1998</t>
  </si>
  <si>
    <t>Miltenberger 1999</t>
  </si>
  <si>
    <t>Egemo-Helm 2007</t>
  </si>
  <si>
    <t>Plaks 2010</t>
  </si>
  <si>
    <t>Ruston 1994</t>
  </si>
  <si>
    <t>sheridan 15 2014</t>
  </si>
  <si>
    <t>Dekker 2015</t>
  </si>
  <si>
    <t>Cunningham 2016</t>
  </si>
  <si>
    <t>rct</t>
  </si>
  <si>
    <t>quasi</t>
  </si>
  <si>
    <t>MB</t>
  </si>
  <si>
    <t>within, no CG</t>
  </si>
  <si>
    <t>Anderson 2015</t>
  </si>
  <si>
    <t>Terzian 14 2013</t>
  </si>
  <si>
    <t>Sheridan 15 2015</t>
  </si>
  <si>
    <t>Castelein 17 2008</t>
  </si>
  <si>
    <t>Hasson-Ohayon 16 2014</t>
  </si>
  <si>
    <t>Villalta-Gil 18 2009</t>
  </si>
  <si>
    <t>Wilson 2014</t>
  </si>
  <si>
    <t>29-30</t>
  </si>
  <si>
    <t>McConnell 2009</t>
  </si>
  <si>
    <t>Feldman and Case 1999</t>
  </si>
  <si>
    <t>Feldman et al 1999</t>
  </si>
  <si>
    <t>Llewellyn 2003</t>
  </si>
  <si>
    <t>Mildon 2008</t>
  </si>
  <si>
    <t>Brisson 2010</t>
  </si>
  <si>
    <t>Lorenc 2018</t>
  </si>
  <si>
    <t>control group</t>
  </si>
  <si>
    <t>Bonete 2015</t>
  </si>
  <si>
    <t>spain</t>
  </si>
  <si>
    <t>nrct</t>
  </si>
  <si>
    <t>nothing</t>
  </si>
  <si>
    <t>Cunningham 2014</t>
  </si>
  <si>
    <t>within</t>
  </si>
  <si>
    <t>Eack 2013</t>
  </si>
  <si>
    <t>Gracey 2011</t>
  </si>
  <si>
    <t>Hesselmark 2014</t>
  </si>
  <si>
    <t>sweden</t>
  </si>
  <si>
    <t>unstructured recreation</t>
  </si>
  <si>
    <t>Hillier 2007 - Aspirations</t>
  </si>
  <si>
    <t>Kandalaft 2013</t>
  </si>
  <si>
    <t>Minihan 2007</t>
  </si>
  <si>
    <t>ireland</t>
  </si>
  <si>
    <t>Newey 2002</t>
  </si>
  <si>
    <t>Palmen 2011</t>
  </si>
  <si>
    <t>netherlands</t>
  </si>
  <si>
    <t>nothinjg</t>
  </si>
  <si>
    <t>Perdue 2016</t>
  </si>
  <si>
    <t>social skills training with lectures</t>
  </si>
  <si>
    <t>Shireman 2016</t>
  </si>
  <si>
    <t>TAU</t>
  </si>
  <si>
    <t>VR social skills training with biofeedback</t>
  </si>
  <si>
    <t>Smith 2014/2015</t>
  </si>
  <si>
    <t>Hillier 2017 - job support</t>
  </si>
  <si>
    <t>Hillier 2012</t>
  </si>
  <si>
    <t>germany</t>
  </si>
  <si>
    <t>movement training focused on dexterity, balance and endurance</t>
  </si>
  <si>
    <t>Grant 2017</t>
  </si>
  <si>
    <t>Bechi 2012</t>
  </si>
  <si>
    <t>Bechi 2013</t>
  </si>
  <si>
    <t>Bechi 2015</t>
  </si>
  <si>
    <t>Choi 2006</t>
  </si>
  <si>
    <t>Combs 2007</t>
  </si>
  <si>
    <t>Combs 2008</t>
  </si>
  <si>
    <t>Corrigan 1995</t>
  </si>
  <si>
    <t>Eack 2009</t>
  </si>
  <si>
    <t>Eack 2015</t>
  </si>
  <si>
    <t>Garcia 2003</t>
  </si>
  <si>
    <t>Gil Sanz 2009</t>
  </si>
  <si>
    <t>Gil-Sanz 2014</t>
  </si>
  <si>
    <t>Gohar 2013</t>
  </si>
  <si>
    <t>Habel 2010</t>
  </si>
  <si>
    <t>Horan 2009</t>
  </si>
  <si>
    <t>Horan 2011</t>
  </si>
  <si>
    <t>Kayser 2006</t>
  </si>
  <si>
    <t>Mazza 2010</t>
  </si>
  <si>
    <t>Penn 2000</t>
  </si>
  <si>
    <t>Popova 2014</t>
  </si>
  <si>
    <t>Roberts 2014</t>
  </si>
  <si>
    <t>Roncone 2004</t>
  </si>
  <si>
    <t>Russell 2008</t>
  </si>
  <si>
    <t>Sachs 2012</t>
  </si>
  <si>
    <t>Tas 2012</t>
  </si>
  <si>
    <t>Taylor 2015</t>
  </si>
  <si>
    <t>van der Gaag 2002</t>
  </si>
  <si>
    <t>Veltro 2011</t>
  </si>
  <si>
    <t>Wang 2013</t>
  </si>
  <si>
    <t>Wolwer 2005</t>
  </si>
  <si>
    <t>Puolakka 2019</t>
  </si>
  <si>
    <t>Wolwer 2011</t>
  </si>
  <si>
    <t>Aho-Mustonen 2011</t>
  </si>
  <si>
    <t>m=38.6, m=40.6</t>
  </si>
  <si>
    <t>Pitkanen 2012</t>
  </si>
  <si>
    <t>Vreeland 2006</t>
  </si>
  <si>
    <t>m=38, m=35</t>
  </si>
  <si>
    <t>Bradley 2006</t>
  </si>
  <si>
    <t>m=33.6, m=34</t>
  </si>
  <si>
    <t>Giron 2010</t>
  </si>
  <si>
    <t>m=30.9, m=32.1</t>
  </si>
  <si>
    <t>Ngoc 2016</t>
  </si>
  <si>
    <t>m=24.9, m=23.7</t>
  </si>
  <si>
    <t>Rus-Calafell 2013</t>
  </si>
  <si>
    <t>m=42.4, m=37.5</t>
  </si>
  <si>
    <t>Patterson 2003</t>
  </si>
  <si>
    <t>m=47.9, m=51.7</t>
  </si>
  <si>
    <t>Patterson 2006</t>
  </si>
  <si>
    <t>m=51.2, m=50.5</t>
  </si>
  <si>
    <t>Hayes 1995</t>
  </si>
  <si>
    <t>m=36</t>
  </si>
  <si>
    <t>Bio 2011</t>
  </si>
  <si>
    <t>m=28.2, m=30.8</t>
  </si>
  <si>
    <t>Hutchinson 2015</t>
  </si>
  <si>
    <t>Elgie 2001</t>
  </si>
  <si>
    <t>Learning 2006</t>
  </si>
  <si>
    <t>Lovell 1998</t>
  </si>
  <si>
    <t>Nind 1999</t>
  </si>
  <si>
    <t>Samuel 2008</t>
  </si>
  <si>
    <t>zeedyk 2009a, b</t>
  </si>
  <si>
    <t>Forster 2006</t>
  </si>
  <si>
    <t>young adult</t>
  </si>
  <si>
    <t>Geretsegger 2017</t>
  </si>
  <si>
    <t>Setting</t>
  </si>
  <si>
    <t>Comparator</t>
  </si>
  <si>
    <t>Ceccato 2009</t>
  </si>
  <si>
    <t>in and outpatient</t>
  </si>
  <si>
    <t>Standard care</t>
  </si>
  <si>
    <t>Cha 2012</t>
  </si>
  <si>
    <t>inpatient</t>
  </si>
  <si>
    <t>Chang 2013</t>
  </si>
  <si>
    <t>Fu 2013</t>
  </si>
  <si>
    <t>Gold 2013</t>
  </si>
  <si>
    <t>He 2005</t>
  </si>
  <si>
    <t>Li 2007a</t>
  </si>
  <si>
    <t>Lu 2013</t>
  </si>
  <si>
    <t>Mao 2013</t>
  </si>
  <si>
    <t>Mohammadi 2012</t>
  </si>
  <si>
    <t>Passive music therapy + standard care; medication only</t>
  </si>
  <si>
    <t>Qu 2012</t>
  </si>
  <si>
    <t>Talwar 2006</t>
  </si>
  <si>
    <t>Tang 1994</t>
  </si>
  <si>
    <t>Ulrich 2007</t>
  </si>
  <si>
    <t>Wen 2005</t>
  </si>
  <si>
    <t>Yang 1998</t>
  </si>
  <si>
    <t>Kamioka 2014</t>
  </si>
  <si>
    <t>Antonioli 2005</t>
  </si>
  <si>
    <t>USA and Honduras</t>
  </si>
  <si>
    <t>Jessen 1996</t>
  </si>
  <si>
    <t>Barak 2001</t>
  </si>
  <si>
    <t>Norway</t>
  </si>
  <si>
    <t>Carolyn 2000</t>
  </si>
  <si>
    <t>Kaltenthaler 2014</t>
  </si>
  <si>
    <t>Berkman 2006</t>
  </si>
  <si>
    <t>homeless shelter</t>
  </si>
  <si>
    <t>Berkman 2007</t>
  </si>
  <si>
    <t>outpatient</t>
  </si>
  <si>
    <t>37.2, 40.0</t>
  </si>
  <si>
    <t>Carey 2004</t>
  </si>
  <si>
    <t>Collins 2011</t>
  </si>
  <si>
    <t>community</t>
  </si>
  <si>
    <t>Kalichman 1995</t>
  </si>
  <si>
    <t>Katz 1996</t>
  </si>
  <si>
    <t>drop in centre</t>
  </si>
  <si>
    <t>Kelley 1997</t>
  </si>
  <si>
    <t>Linn 2003</t>
  </si>
  <si>
    <t>Malow 2012 (E-CB intervention)</t>
  </si>
  <si>
    <t>NIMH 2006</t>
  </si>
  <si>
    <t>78%&gt;31</t>
  </si>
  <si>
    <t>Otto-Salaj 2001</t>
  </si>
  <si>
    <t>Susser 1998</t>
  </si>
  <si>
    <t>homeless setting</t>
  </si>
  <si>
    <t>39%&lt;35 years</t>
  </si>
  <si>
    <t>Weinhardt 1998</t>
  </si>
  <si>
    <t>Naslund 2015</t>
  </si>
  <si>
    <t>Granholm 2012</t>
  </si>
  <si>
    <t>Alvarez-Jiminez 2013; Gleeson 2014</t>
  </si>
  <si>
    <t>Kaplan 2014</t>
  </si>
  <si>
    <t>Pijnenborg 2010</t>
  </si>
  <si>
    <t>Proudfoot 2012</t>
  </si>
  <si>
    <t>Finkel 2020</t>
  </si>
  <si>
    <t>Allan 2015</t>
  </si>
  <si>
    <t>Chiu 2015</t>
  </si>
  <si>
    <t>Griffith 2015</t>
  </si>
  <si>
    <t>Howells 2009</t>
  </si>
  <si>
    <t>Stokrocki 2004</t>
  </si>
  <si>
    <t>Thompson 2016</t>
  </si>
  <si>
    <t>SChepens</t>
  </si>
  <si>
    <t>see next tab</t>
  </si>
  <si>
    <t>Williams 2018</t>
  </si>
  <si>
    <t>Clift 28 2011</t>
  </si>
  <si>
    <t>Petchkovsky 30  2013</t>
  </si>
  <si>
    <t>Grocke 21 2014</t>
  </si>
  <si>
    <t>Sun 31  2016</t>
  </si>
  <si>
    <t>Clift 11 2017</t>
  </si>
  <si>
    <t>Fancourt 32 2018</t>
  </si>
  <si>
    <t>Williams 29,37 2018</t>
  </si>
  <si>
    <t>Bailey35 2002</t>
  </si>
  <si>
    <t>Bailey36 2005</t>
  </si>
  <si>
    <t>Dingle 20  2013</t>
  </si>
  <si>
    <t>Plumb 38 2017</t>
  </si>
  <si>
    <t>Shakespeare 39 2017</t>
  </si>
  <si>
    <t>intervention category</t>
  </si>
  <si>
    <t>impact source</t>
  </si>
  <si>
    <t>Sample w ID</t>
  </si>
  <si>
    <t>age, min</t>
  </si>
  <si>
    <t>age, max</t>
  </si>
  <si>
    <t>age mean</t>
  </si>
  <si>
    <t>Intervention</t>
  </si>
  <si>
    <t>existential supports</t>
  </si>
  <si>
    <t>Table 2</t>
  </si>
  <si>
    <t>50, 75</t>
  </si>
  <si>
    <t>non-randomised trial/quasi experimental</t>
  </si>
  <si>
    <t>Life story work</t>
  </si>
  <si>
    <t>planning of support</t>
  </si>
  <si>
    <t>25, 50</t>
  </si>
  <si>
    <t>future planning for middle aged child w ID</t>
  </si>
  <si>
    <t>retirement</t>
  </si>
  <si>
    <t>Table 2 &amp; 3</t>
  </si>
  <si>
    <t xml:space="preserve">social inclusion after retirement from supported employment </t>
  </si>
  <si>
    <t>pre-post, no control</t>
  </si>
  <si>
    <t>transition to retirement program</t>
  </si>
  <si>
    <t>physical activities</t>
  </si>
  <si>
    <t>75, 100</t>
  </si>
  <si>
    <t>RCT (CG not described)</t>
  </si>
  <si>
    <t>6m treadmill intervention</t>
  </si>
  <si>
    <t>nonrandomized quasi-experimental</t>
  </si>
  <si>
    <t>6m muscle strengtening and balance training program</t>
  </si>
  <si>
    <t>physical training w focus on balance and muscle strength</t>
  </si>
  <si>
    <t>pathways to active participation in community groups - enabling or constraining factors</t>
  </si>
  <si>
    <t>life story books and rummage boxes for ID+dementia</t>
  </si>
  <si>
    <t>collecting and disseminating life story</t>
  </si>
  <si>
    <t>0, 25</t>
  </si>
  <si>
    <t>community membership project</t>
  </si>
  <si>
    <t>person-centred care pl anning and essential lifestyle plan to maintain skin integrity</t>
  </si>
  <si>
    <t>supporting attendance at mainstream community groups in transition to retirement program</t>
  </si>
  <si>
    <t>use of cognitive devices, schedules, time aids</t>
  </si>
  <si>
    <t>circumstances and effects of choicemaking opportunities</t>
  </si>
  <si>
    <t>preferences for, participation in, facilitators and barriers to physical activity</t>
  </si>
  <si>
    <t>combined physical activity and health education</t>
  </si>
  <si>
    <t>active mentoring</t>
  </si>
  <si>
    <t>added to 3.0</t>
  </si>
  <si>
    <t>Bai 2014</t>
  </si>
  <si>
    <t>hong kong</t>
  </si>
  <si>
    <t>Bigby 1996</t>
  </si>
  <si>
    <t>Bigby 2011</t>
  </si>
  <si>
    <t>Bigby 2014</t>
  </si>
  <si>
    <t>Carmeli 2002</t>
  </si>
  <si>
    <t>Carmeli 2004</t>
  </si>
  <si>
    <t>Carmeli 2005</t>
  </si>
  <si>
    <t>physical training</t>
  </si>
  <si>
    <t>Craig 2015</t>
  </si>
  <si>
    <t>Hamilton 2009</t>
  </si>
  <si>
    <t>Smith 2013</t>
  </si>
  <si>
    <t>Stancliffe 2015</t>
  </si>
  <si>
    <t>Treece 1999</t>
  </si>
  <si>
    <t>van Schijndel-Spreet 2014</t>
  </si>
  <si>
    <t>van Schijndel-Spreet 2017</t>
  </si>
  <si>
    <t>Wilson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</si>
</sst>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sz val="11"/>
      <color rgb="FFFF0000"/>
      <name val="Calibri"/>
      <family val="2"/>
      <scheme val="minor"/>
    </font>
    <font>
      <sz val="11"/>
      <color rgb="FF0070C0"/>
      <name val="Calibri"/>
      <family val="2"/>
      <scheme val="minor"/>
    </font>
    <font>
      <sz val="11"/>
      <color rgb="FF444444"/>
      <name val="Calibri"/>
      <family val="2"/>
      <scheme val="minor"/>
    </font>
    <font>
      <sz val="11"/>
      <color rgb="FF000000"/>
      <name val="Calibri"/>
      <family val="2"/>
    </font>
    <font>
      <sz val="11"/>
      <color rgb="FF000000"/>
      <name val="Calibri"/>
      <charset val="1"/>
    </font>
    <font>
      <sz val="11"/>
      <color theme="1"/>
      <name val="Calibri"/>
      <family val="2"/>
      <charset val="1"/>
    </font>
    <font>
      <sz val="11"/>
      <color rgb="FF444444"/>
      <name val="Calibri"/>
      <family val="2"/>
      <charset val="1"/>
    </font>
    <font>
      <sz val="11"/>
      <color rgb="FF000000"/>
      <name val="Calibri"/>
      <family val="2"/>
      <scheme val="minor"/>
    </font>
    <font>
      <sz val="11"/>
      <color rgb="FFFF0000"/>
      <name val="Calibri"/>
      <family val="2"/>
    </font>
    <font>
      <b/>
      <sz val="11"/>
      <color rgb="FF000000"/>
      <name val="Calibri"/>
    </font>
    <font>
      <sz val="11"/>
      <color rgb="FF000000"/>
      <name val="Calibri"/>
    </font>
  </fonts>
  <fills count="30">
    <fill>
      <patternFill patternType="none"/>
    </fill>
    <fill>
      <patternFill patternType="gray125"/>
    </fill>
    <fill>
      <patternFill patternType="solid">
        <fgColor theme="5"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4"/>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9" tint="0.79998168889431442"/>
        <bgColor indexed="64"/>
      </patternFill>
    </fill>
    <fill>
      <patternFill patternType="solid">
        <fgColor theme="6"/>
        <bgColor indexed="64"/>
      </patternFill>
    </fill>
    <fill>
      <patternFill patternType="solid">
        <fgColor theme="9"/>
        <bgColor indexed="64"/>
      </patternFill>
    </fill>
    <fill>
      <patternFill patternType="solid">
        <fgColor theme="9" tint="0.39997558519241921"/>
        <bgColor indexed="64"/>
      </patternFill>
    </fill>
    <fill>
      <patternFill patternType="solid">
        <fgColor rgb="FFCC99FF"/>
        <bgColor indexed="64"/>
      </patternFill>
    </fill>
    <fill>
      <patternFill patternType="solid">
        <fgColor rgb="FF92D050"/>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FF00"/>
        <bgColor rgb="FF000000"/>
      </patternFill>
    </fill>
    <fill>
      <patternFill patternType="solid">
        <fgColor rgb="FFFFC000"/>
        <bgColor rgb="FF000000"/>
      </patternFill>
    </fill>
    <fill>
      <patternFill patternType="solid">
        <fgColor rgb="FFD9D9D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theme="0" tint="-0.499984740745262"/>
      </left>
      <right style="thin">
        <color theme="0" tint="-0.499984740745262"/>
      </right>
      <top style="thin">
        <color theme="0" tint="-0.499984740745262"/>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74">
    <xf numFmtId="0" fontId="0" fillId="0" borderId="0" xfId="0"/>
    <xf numFmtId="0" fontId="0" fillId="0" borderId="0" xfId="0" applyAlignment="1">
      <alignment wrapText="1"/>
    </xf>
    <xf numFmtId="0" fontId="4" fillId="0" borderId="0" xfId="0" applyFont="1" applyAlignment="1">
      <alignment wrapText="1"/>
    </xf>
    <xf numFmtId="0" fontId="0" fillId="3" borderId="0" xfId="0" applyFill="1" applyAlignment="1">
      <alignment wrapText="1"/>
    </xf>
    <xf numFmtId="0" fontId="0" fillId="9" borderId="0" xfId="0" applyFill="1"/>
    <xf numFmtId="0" fontId="0" fillId="0" borderId="1" xfId="0" applyBorder="1"/>
    <xf numFmtId="0" fontId="0" fillId="0" borderId="1" xfId="0" applyBorder="1" applyAlignment="1">
      <alignment wrapText="1"/>
    </xf>
    <xf numFmtId="0" fontId="0" fillId="5" borderId="1" xfId="0" applyFill="1" applyBorder="1" applyAlignment="1">
      <alignment wrapText="1"/>
    </xf>
    <xf numFmtId="0" fontId="0" fillId="11" borderId="1" xfId="0" applyFill="1" applyBorder="1" applyAlignment="1">
      <alignment wrapText="1"/>
    </xf>
    <xf numFmtId="0" fontId="3" fillId="11" borderId="1" xfId="0" applyFont="1" applyFill="1" applyBorder="1"/>
    <xf numFmtId="0" fontId="0" fillId="11" borderId="1" xfId="0" applyFill="1" applyBorder="1"/>
    <xf numFmtId="0" fontId="3" fillId="11" borderId="1" xfId="0" applyFont="1" applyFill="1" applyBorder="1" applyAlignment="1">
      <alignment wrapText="1"/>
    </xf>
    <xf numFmtId="0" fontId="0" fillId="0" borderId="2" xfId="0" applyBorder="1" applyAlignment="1">
      <alignment horizontal="center"/>
    </xf>
    <xf numFmtId="0" fontId="0" fillId="24" borderId="2" xfId="0" applyFill="1" applyBorder="1" applyAlignment="1">
      <alignment horizontal="center"/>
    </xf>
    <xf numFmtId="0" fontId="0" fillId="0" borderId="2" xfId="0" applyBorder="1"/>
    <xf numFmtId="164" fontId="0" fillId="0" borderId="0" xfId="0" applyNumberFormat="1"/>
    <xf numFmtId="1" fontId="0" fillId="0" borderId="0" xfId="0" applyNumberFormat="1"/>
    <xf numFmtId="0" fontId="0" fillId="0" borderId="0" xfId="0" applyAlignment="1">
      <alignment horizontal="center"/>
    </xf>
    <xf numFmtId="164" fontId="0" fillId="0" borderId="1" xfId="0" applyNumberFormat="1" applyBorder="1" applyAlignment="1">
      <alignment wrapText="1"/>
    </xf>
    <xf numFmtId="0" fontId="0" fillId="26" borderId="0" xfId="0" applyFill="1"/>
    <xf numFmtId="0" fontId="0" fillId="0" borderId="3" xfId="0" applyBorder="1"/>
    <xf numFmtId="0" fontId="0" fillId="0" borderId="1" xfId="0" applyBorder="1" applyAlignment="1">
      <alignment horizontal="center"/>
    </xf>
    <xf numFmtId="0" fontId="2" fillId="0" borderId="0" xfId="0" applyFont="1"/>
    <xf numFmtId="2" fontId="0" fillId="0" borderId="0" xfId="0" applyNumberFormat="1"/>
    <xf numFmtId="0" fontId="8" fillId="0" borderId="0" xfId="0" applyFont="1"/>
    <xf numFmtId="0" fontId="8" fillId="0" borderId="0" xfId="0" applyFont="1" applyAlignment="1">
      <alignment wrapText="1"/>
    </xf>
    <xf numFmtId="0" fontId="8" fillId="27" borderId="0" xfId="0" applyFont="1" applyFill="1" applyAlignment="1">
      <alignment wrapText="1"/>
    </xf>
    <xf numFmtId="0" fontId="8" fillId="28" borderId="0" xfId="0" applyFont="1" applyFill="1" applyAlignment="1">
      <alignment wrapText="1"/>
    </xf>
    <xf numFmtId="0" fontId="8" fillId="25" borderId="0" xfId="0" applyFont="1" applyFill="1" applyAlignment="1">
      <alignment wrapText="1"/>
    </xf>
    <xf numFmtId="49" fontId="0" fillId="0" borderId="0" xfId="0" applyNumberFormat="1"/>
    <xf numFmtId="0" fontId="0" fillId="0" borderId="14" xfId="0" applyBorder="1" applyAlignment="1">
      <alignment horizontal="center"/>
    </xf>
    <xf numFmtId="2" fontId="2" fillId="0" borderId="0" xfId="0" applyNumberFormat="1" applyFont="1"/>
    <xf numFmtId="0" fontId="9" fillId="0" borderId="0" xfId="0" applyFont="1"/>
    <xf numFmtId="0" fontId="0" fillId="25" borderId="0" xfId="0" applyFill="1"/>
    <xf numFmtId="2" fontId="0" fillId="0" borderId="1" xfId="0" applyNumberFormat="1" applyBorder="1"/>
    <xf numFmtId="0" fontId="9" fillId="0" borderId="0" xfId="0" applyFont="1" applyAlignment="1">
      <alignment wrapText="1"/>
    </xf>
    <xf numFmtId="0" fontId="0" fillId="23" borderId="0" xfId="0" applyFill="1"/>
    <xf numFmtId="0" fontId="0" fillId="0" borderId="1" xfId="0" applyBorder="1" applyAlignment="1">
      <alignment vertical="top" wrapText="1"/>
    </xf>
    <xf numFmtId="0" fontId="0" fillId="0" borderId="1" xfId="0" applyBorder="1" applyAlignment="1">
      <alignment vertical="top"/>
    </xf>
    <xf numFmtId="0" fontId="10" fillId="0" borderId="15" xfId="0" applyFont="1" applyBorder="1" applyAlignment="1">
      <alignment wrapText="1"/>
    </xf>
    <xf numFmtId="0" fontId="10" fillId="0" borderId="16" xfId="0" applyFont="1" applyBorder="1" applyAlignment="1">
      <alignment wrapText="1"/>
    </xf>
    <xf numFmtId="0" fontId="10" fillId="0" borderId="12" xfId="0" applyFont="1" applyBorder="1" applyAlignment="1">
      <alignment wrapText="1"/>
    </xf>
    <xf numFmtId="0" fontId="0" fillId="0" borderId="12" xfId="0" applyBorder="1"/>
    <xf numFmtId="0" fontId="0" fillId="0" borderId="14" xfId="0" applyBorder="1"/>
    <xf numFmtId="0" fontId="11" fillId="0" borderId="0" xfId="0" quotePrefix="1" applyFont="1" applyAlignment="1">
      <alignment wrapText="1"/>
    </xf>
    <xf numFmtId="0" fontId="9" fillId="0" borderId="0" xfId="0" quotePrefix="1" applyFont="1" applyAlignment="1">
      <alignment wrapText="1"/>
    </xf>
    <xf numFmtId="0" fontId="10" fillId="0" borderId="0" xfId="0" applyFont="1" applyAlignment="1">
      <alignment wrapText="1"/>
    </xf>
    <xf numFmtId="0" fontId="0" fillId="0" borderId="3" xfId="0" applyBorder="1" applyAlignment="1">
      <alignment horizontal="center"/>
    </xf>
    <xf numFmtId="0" fontId="0" fillId="24" borderId="14" xfId="0" applyFill="1" applyBorder="1" applyAlignment="1">
      <alignment horizontal="center"/>
    </xf>
    <xf numFmtId="0" fontId="0" fillId="24" borderId="1" xfId="0" applyFill="1" applyBorder="1" applyAlignment="1">
      <alignment horizontal="center"/>
    </xf>
    <xf numFmtId="0" fontId="8" fillId="0" borderId="1" xfId="0" applyFont="1" applyBorder="1"/>
    <xf numFmtId="164" fontId="8" fillId="0" borderId="13" xfId="0" applyNumberFormat="1" applyFont="1" applyBorder="1" applyAlignment="1">
      <alignment vertical="top"/>
    </xf>
    <xf numFmtId="164" fontId="8" fillId="0" borderId="13" xfId="0" applyNumberFormat="1" applyFont="1" applyBorder="1" applyAlignment="1">
      <alignment horizontal="left" vertical="top"/>
    </xf>
    <xf numFmtId="0" fontId="8" fillId="0" borderId="13" xfId="0" applyFont="1" applyBorder="1" applyAlignment="1">
      <alignment vertical="top"/>
    </xf>
    <xf numFmtId="0" fontId="13" fillId="0" borderId="13" xfId="0" applyFont="1" applyBorder="1" applyAlignment="1">
      <alignment vertical="top"/>
    </xf>
    <xf numFmtId="2" fontId="0" fillId="0" borderId="1" xfId="0" applyNumberFormat="1" applyBorder="1" applyAlignment="1">
      <alignment wrapText="1"/>
    </xf>
    <xf numFmtId="0" fontId="0" fillId="25" borderId="1" xfId="0" applyFill="1" applyBorder="1" applyAlignment="1">
      <alignment horizontal="center" wrapText="1"/>
    </xf>
    <xf numFmtId="49" fontId="0" fillId="0" borderId="0" xfId="0" applyNumberFormat="1" applyAlignment="1">
      <alignment wrapText="1"/>
    </xf>
    <xf numFmtId="0" fontId="0" fillId="0" borderId="1" xfId="0" applyBorder="1" applyAlignment="1">
      <alignment horizontal="center" wrapText="1"/>
    </xf>
    <xf numFmtId="0" fontId="0" fillId="0" borderId="0" xfId="0" applyAlignment="1">
      <alignment horizontal="center" wrapText="1"/>
    </xf>
    <xf numFmtId="0" fontId="0" fillId="5" borderId="1" xfId="0" applyFill="1" applyBorder="1"/>
    <xf numFmtId="0" fontId="0" fillId="2" borderId="1" xfId="0" applyFill="1" applyBorder="1"/>
    <xf numFmtId="0" fontId="0" fillId="13" borderId="1" xfId="0" applyFill="1" applyBorder="1"/>
    <xf numFmtId="0" fontId="0" fillId="14" borderId="1" xfId="0" applyFill="1" applyBorder="1"/>
    <xf numFmtId="0" fontId="0" fillId="15" borderId="1" xfId="0" applyFill="1" applyBorder="1"/>
    <xf numFmtId="0" fontId="0" fillId="12" borderId="1" xfId="0" applyFill="1" applyBorder="1"/>
    <xf numFmtId="0" fontId="0" fillId="16" borderId="1" xfId="0" applyFill="1" applyBorder="1"/>
    <xf numFmtId="0" fontId="0" fillId="17" borderId="1" xfId="0" applyFill="1" applyBorder="1"/>
    <xf numFmtId="0" fontId="0" fillId="4" borderId="1" xfId="0" applyFill="1" applyBorder="1"/>
    <xf numFmtId="0" fontId="0" fillId="22" borderId="1" xfId="0" applyFill="1" applyBorder="1"/>
    <xf numFmtId="0" fontId="0" fillId="19" borderId="1" xfId="0" applyFill="1" applyBorder="1"/>
    <xf numFmtId="0" fontId="0" fillId="8" borderId="1" xfId="0" applyFill="1" applyBorder="1"/>
    <xf numFmtId="0" fontId="0" fillId="6" borderId="1" xfId="0" applyFill="1" applyBorder="1"/>
    <xf numFmtId="49" fontId="0" fillId="17" borderId="1" xfId="0" applyNumberFormat="1" applyFill="1" applyBorder="1"/>
    <xf numFmtId="0" fontId="0" fillId="17" borderId="3" xfId="0" applyFill="1" applyBorder="1"/>
    <xf numFmtId="0" fontId="0" fillId="23" borderId="5" xfId="0" applyFill="1" applyBorder="1"/>
    <xf numFmtId="0" fontId="0" fillId="23" borderId="1" xfId="0" applyFill="1" applyBorder="1"/>
    <xf numFmtId="0" fontId="0" fillId="26" borderId="1" xfId="0" applyFill="1" applyBorder="1" applyAlignment="1">
      <alignment horizontal="center"/>
    </xf>
    <xf numFmtId="14" fontId="0" fillId="0" borderId="1" xfId="0" applyNumberFormat="1" applyBorder="1"/>
    <xf numFmtId="49" fontId="0" fillId="0" borderId="1" xfId="0" applyNumberFormat="1" applyBorder="1"/>
    <xf numFmtId="0" fontId="0" fillId="0" borderId="5" xfId="0" applyBorder="1"/>
    <xf numFmtId="0" fontId="12" fillId="0" borderId="1" xfId="0" applyFont="1" applyBorder="1"/>
    <xf numFmtId="1" fontId="0" fillId="0" borderId="1" xfId="0" applyNumberFormat="1" applyBorder="1"/>
    <xf numFmtId="0" fontId="0" fillId="25" borderId="1" xfId="0" applyFill="1" applyBorder="1"/>
    <xf numFmtId="0" fontId="7" fillId="0" borderId="1" xfId="0" applyFont="1" applyBorder="1"/>
    <xf numFmtId="0" fontId="8" fillId="0" borderId="2" xfId="0" applyFont="1" applyBorder="1"/>
    <xf numFmtId="0" fontId="10" fillId="0" borderId="2" xfId="0" applyFont="1" applyBorder="1"/>
    <xf numFmtId="0" fontId="9" fillId="0" borderId="2" xfId="0" applyFont="1" applyBorder="1"/>
    <xf numFmtId="9" fontId="0" fillId="0" borderId="1" xfId="0" applyNumberFormat="1" applyBorder="1"/>
    <xf numFmtId="0" fontId="9" fillId="0" borderId="5" xfId="0" applyFont="1" applyBorder="1"/>
    <xf numFmtId="0" fontId="9" fillId="0" borderId="1" xfId="0" applyFont="1" applyBorder="1"/>
    <xf numFmtId="17" fontId="0" fillId="0" borderId="1" xfId="0" applyNumberFormat="1" applyBorder="1"/>
    <xf numFmtId="0" fontId="15" fillId="0" borderId="1" xfId="0" applyFont="1" applyBorder="1"/>
    <xf numFmtId="0" fontId="0" fillId="0" borderId="13" xfId="0" applyBorder="1"/>
    <xf numFmtId="0" fontId="0" fillId="0" borderId="17" xfId="0" applyBorder="1"/>
    <xf numFmtId="0" fontId="0" fillId="0" borderId="8" xfId="0" applyBorder="1"/>
    <xf numFmtId="0" fontId="0" fillId="0" borderId="15" xfId="0" applyBorder="1"/>
    <xf numFmtId="0" fontId="9" fillId="0" borderId="13" xfId="0" applyFont="1" applyBorder="1"/>
    <xf numFmtId="0" fontId="0" fillId="25" borderId="13" xfId="0" applyFill="1" applyBorder="1"/>
    <xf numFmtId="0" fontId="11" fillId="0" borderId="0" xfId="0" applyFont="1"/>
    <xf numFmtId="1" fontId="0" fillId="0" borderId="12" xfId="0" applyNumberFormat="1" applyBorder="1"/>
    <xf numFmtId="0" fontId="9" fillId="0" borderId="12" xfId="0" applyFont="1" applyBorder="1"/>
    <xf numFmtId="0" fontId="0" fillId="0" borderId="16" xfId="0" applyBorder="1"/>
    <xf numFmtId="0" fontId="0" fillId="0" borderId="18" xfId="0" applyBorder="1"/>
    <xf numFmtId="0" fontId="0" fillId="0" borderId="6" xfId="0" applyBorder="1"/>
    <xf numFmtId="49" fontId="0" fillId="0" borderId="15" xfId="0" applyNumberFormat="1" applyBorder="1"/>
    <xf numFmtId="1" fontId="0" fillId="0" borderId="13" xfId="0" applyNumberFormat="1" applyBorder="1"/>
    <xf numFmtId="0" fontId="0" fillId="0" borderId="19" xfId="0" applyBorder="1"/>
    <xf numFmtId="0" fontId="0" fillId="0" borderId="20" xfId="0" applyBorder="1"/>
    <xf numFmtId="49" fontId="0" fillId="0" borderId="13" xfId="0" applyNumberFormat="1" applyBorder="1"/>
    <xf numFmtId="0" fontId="3" fillId="13" borderId="1" xfId="0" applyFont="1" applyFill="1" applyBorder="1" applyAlignment="1">
      <alignment horizontal="left" wrapText="1"/>
    </xf>
    <xf numFmtId="0" fontId="3" fillId="5" borderId="1" xfId="0" applyFont="1" applyFill="1" applyBorder="1" applyAlignment="1">
      <alignment horizontal="center"/>
    </xf>
    <xf numFmtId="0" fontId="3" fillId="4" borderId="1" xfId="0" applyFont="1" applyFill="1" applyBorder="1" applyAlignment="1">
      <alignment horizontal="center" vertical="center"/>
    </xf>
    <xf numFmtId="0" fontId="3" fillId="18" borderId="1" xfId="0" applyFont="1" applyFill="1" applyBorder="1" applyAlignment="1">
      <alignment horizontal="center"/>
    </xf>
    <xf numFmtId="0" fontId="0" fillId="17" borderId="1" xfId="0" applyFill="1" applyBorder="1" applyAlignment="1">
      <alignment horizontal="center"/>
    </xf>
    <xf numFmtId="0" fontId="0" fillId="16" borderId="1" xfId="0" applyFill="1" applyBorder="1" applyAlignment="1">
      <alignment horizontal="center"/>
    </xf>
    <xf numFmtId="0" fontId="0" fillId="22" borderId="1" xfId="0" applyFill="1" applyBorder="1" applyAlignment="1">
      <alignment horizontal="center"/>
    </xf>
    <xf numFmtId="0" fontId="3" fillId="22" borderId="1" xfId="0" applyFont="1" applyFill="1" applyBorder="1" applyAlignment="1">
      <alignment horizontal="center"/>
    </xf>
    <xf numFmtId="0" fontId="3" fillId="8" borderId="1" xfId="0" applyFont="1" applyFill="1" applyBorder="1" applyAlignment="1">
      <alignment horizontal="center"/>
    </xf>
    <xf numFmtId="0" fontId="3" fillId="6" borderId="1" xfId="0" applyFont="1" applyFill="1" applyBorder="1" applyAlignment="1">
      <alignment horizontal="center"/>
    </xf>
    <xf numFmtId="0" fontId="3" fillId="19" borderId="1" xfId="0" applyFont="1" applyFill="1" applyBorder="1" applyAlignment="1">
      <alignment horizontal="center"/>
    </xf>
    <xf numFmtId="0" fontId="3" fillId="21" borderId="1" xfId="0" applyFont="1" applyFill="1" applyBorder="1" applyAlignment="1">
      <alignment horizontal="center"/>
    </xf>
    <xf numFmtId="0" fontId="3" fillId="13" borderId="1" xfId="0" applyFont="1" applyFill="1" applyBorder="1" applyAlignment="1">
      <alignment horizontal="center"/>
    </xf>
    <xf numFmtId="0" fontId="14"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23" borderId="1" xfId="0" applyFont="1" applyFill="1" applyBorder="1" applyAlignment="1">
      <alignment horizontal="center" vertical="center"/>
    </xf>
    <xf numFmtId="0" fontId="0" fillId="12" borderId="1" xfId="0" applyFill="1" applyBorder="1" applyAlignment="1">
      <alignment horizontal="center"/>
    </xf>
    <xf numFmtId="0" fontId="3" fillId="29" borderId="15" xfId="0" applyFont="1" applyFill="1" applyBorder="1" applyAlignment="1">
      <alignment horizontal="center" vertical="center"/>
    </xf>
    <xf numFmtId="0" fontId="3" fillId="29" borderId="12" xfId="0" applyFont="1" applyFill="1" applyBorder="1" applyAlignment="1">
      <alignment horizontal="center" vertical="center"/>
    </xf>
    <xf numFmtId="0" fontId="1" fillId="21" borderId="3" xfId="0" applyFont="1" applyFill="1" applyBorder="1" applyAlignment="1">
      <alignment horizontal="center"/>
    </xf>
    <xf numFmtId="0" fontId="1" fillId="21" borderId="4" xfId="0" applyFont="1" applyFill="1" applyBorder="1" applyAlignment="1">
      <alignment horizontal="center"/>
    </xf>
    <xf numFmtId="0" fontId="1" fillId="21" borderId="5" xfId="0" applyFont="1" applyFill="1" applyBorder="1" applyAlignment="1">
      <alignment horizontal="center"/>
    </xf>
    <xf numFmtId="0" fontId="0" fillId="13" borderId="1" xfId="0" applyFill="1" applyBorder="1" applyAlignment="1">
      <alignment horizontal="center" vertical="center"/>
    </xf>
    <xf numFmtId="0" fontId="3" fillId="17" borderId="6" xfId="0" applyFont="1" applyFill="1" applyBorder="1" applyAlignment="1">
      <alignment horizontal="center" vertical="center"/>
    </xf>
    <xf numFmtId="0" fontId="3" fillId="17" borderId="7"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9" xfId="0" applyFont="1" applyFill="1" applyBorder="1" applyAlignment="1">
      <alignment horizontal="center" vertical="center"/>
    </xf>
    <xf numFmtId="0" fontId="3" fillId="17" borderId="10" xfId="0" applyFont="1" applyFill="1" applyBorder="1" applyAlignment="1">
      <alignment horizontal="center" vertical="center"/>
    </xf>
    <xf numFmtId="0" fontId="3" fillId="17" borderId="11" xfId="0" applyFont="1" applyFill="1" applyBorder="1" applyAlignment="1">
      <alignment horizontal="center" vertical="center"/>
    </xf>
    <xf numFmtId="0" fontId="1" fillId="7" borderId="1" xfId="0" applyFont="1" applyFill="1" applyBorder="1" applyAlignment="1">
      <alignment horizontal="center"/>
    </xf>
    <xf numFmtId="0" fontId="3" fillId="2" borderId="1" xfId="0" applyFont="1" applyFill="1" applyBorder="1" applyAlignment="1">
      <alignment horizontal="center"/>
    </xf>
    <xf numFmtId="0" fontId="3" fillId="14" borderId="1" xfId="0" applyFont="1" applyFill="1" applyBorder="1" applyAlignment="1">
      <alignment horizontal="center" vertical="center"/>
    </xf>
    <xf numFmtId="0" fontId="3" fillId="14" borderId="1" xfId="0" applyFont="1" applyFill="1" applyBorder="1" applyAlignment="1">
      <alignment horizontal="center"/>
    </xf>
    <xf numFmtId="0" fontId="3" fillId="15" borderId="1" xfId="0" applyFont="1" applyFill="1" applyBorder="1" applyAlignment="1">
      <alignment horizontal="center"/>
    </xf>
    <xf numFmtId="0" fontId="3" fillId="11" borderId="1" xfId="0" applyFont="1" applyFill="1" applyBorder="1" applyAlignment="1">
      <alignment horizontal="center"/>
    </xf>
    <xf numFmtId="0" fontId="3" fillId="10" borderId="1" xfId="0" applyFont="1" applyFill="1" applyBorder="1" applyAlignment="1">
      <alignment horizontal="center"/>
    </xf>
    <xf numFmtId="0" fontId="3" fillId="20" borderId="1" xfId="0" applyFont="1" applyFill="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0" xfId="0" applyAlignment="1">
      <alignment horizontal="center" wrapText="1"/>
    </xf>
    <xf numFmtId="0" fontId="0" fillId="0" borderId="2" xfId="0" applyBorder="1" applyAlignment="1"/>
    <xf numFmtId="0" fontId="0" fillId="0" borderId="1" xfId="0" applyBorder="1" applyAlignment="1"/>
    <xf numFmtId="14" fontId="0" fillId="0" borderId="1" xfId="0" applyNumberFormat="1" applyBorder="1" applyAlignment="1"/>
    <xf numFmtId="49" fontId="0" fillId="0" borderId="1" xfId="0" applyNumberFormat="1" applyBorder="1" applyAlignment="1"/>
    <xf numFmtId="0" fontId="0" fillId="0" borderId="3" xfId="0" applyBorder="1" applyAlignment="1"/>
    <xf numFmtId="0" fontId="0" fillId="0" borderId="5" xfId="0" applyBorder="1" applyAlignment="1"/>
    <xf numFmtId="2" fontId="0" fillId="0" borderId="1" xfId="0" applyNumberFormat="1" applyBorder="1" applyAlignment="1"/>
    <xf numFmtId="0" fontId="0" fillId="0" borderId="0" xfId="0" applyBorder="1"/>
    <xf numFmtId="0" fontId="0" fillId="0" borderId="0" xfId="0" applyBorder="1" applyAlignment="1">
      <alignment horizontal="center"/>
    </xf>
    <xf numFmtId="0" fontId="3" fillId="0" borderId="12" xfId="0" applyFont="1" applyBorder="1" applyAlignment="1">
      <alignment wrapText="1"/>
    </xf>
    <xf numFmtId="0" fontId="0" fillId="0" borderId="13" xfId="0" applyBorder="1" applyAlignment="1">
      <alignment horizontal="center"/>
    </xf>
    <xf numFmtId="0" fontId="0" fillId="0" borderId="15" xfId="0" applyBorder="1" applyAlignment="1">
      <alignment horizontal="center"/>
    </xf>
    <xf numFmtId="164" fontId="0" fillId="0" borderId="13" xfId="0" applyNumberFormat="1" applyBorder="1" applyAlignment="1">
      <alignment horizontal="center"/>
    </xf>
    <xf numFmtId="0" fontId="0" fillId="0" borderId="13" xfId="0" applyFill="1" applyBorder="1"/>
    <xf numFmtId="1" fontId="0" fillId="0" borderId="13" xfId="0" applyNumberFormat="1" applyFill="1" applyBorder="1"/>
    <xf numFmtId="0" fontId="0" fillId="0" borderId="19" xfId="0" applyFill="1" applyBorder="1"/>
    <xf numFmtId="0" fontId="0" fillId="0" borderId="20" xfId="0" applyFill="1" applyBorder="1"/>
    <xf numFmtId="0" fontId="0" fillId="0" borderId="1" xfId="0" applyFill="1" applyBorder="1"/>
    <xf numFmtId="49" fontId="0" fillId="0" borderId="13" xfId="0" applyNumberFormat="1" applyFill="1" applyBorder="1"/>
    <xf numFmtId="0" fontId="0" fillId="0" borderId="5" xfId="0" applyFill="1" applyBorder="1"/>
    <xf numFmtId="2" fontId="0" fillId="0" borderId="1" xfId="0" applyNumberFormat="1" applyFill="1" applyBorder="1"/>
    <xf numFmtId="0" fontId="0" fillId="0" borderId="12" xfId="0" applyFill="1" applyBorder="1"/>
    <xf numFmtId="17" fontId="0" fillId="0" borderId="13" xfId="0" applyNumberFormat="1" applyFill="1" applyBorder="1"/>
    <xf numFmtId="0" fontId="0" fillId="0" borderId="0" xfId="0" applyFill="1"/>
  </cellXfs>
  <cellStyles count="1">
    <cellStyle name="Normal" xfId="0" builtinId="0"/>
  </cellStyles>
  <dxfs count="2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border>
        <left/>
        <right/>
        <top style="thin">
          <color rgb="FFFF0000"/>
        </top>
        <bottom style="thin">
          <color rgb="FFFF0000"/>
        </bottom>
      </border>
    </dxf>
    <dxf>
      <fill>
        <patternFill>
          <bgColor theme="5" tint="0.59996337778862885"/>
        </patternFill>
      </fill>
    </dxf>
    <dxf>
      <fill>
        <patternFill>
          <bgColor theme="5" tint="0.59996337778862885"/>
        </patternFill>
      </fill>
    </dxf>
    <dxf>
      <font>
        <b/>
        <i val="0"/>
      </font>
      <border>
        <left/>
        <right/>
        <top style="thin">
          <color rgb="FFFF0000"/>
        </top>
        <bottom style="thin">
          <color rgb="FFFF0000"/>
        </bottom>
      </border>
    </dxf>
    <dxf>
      <font>
        <b/>
        <i val="0"/>
      </font>
      <border>
        <left/>
        <right/>
        <top style="thin">
          <color rgb="FFFF0000"/>
        </top>
        <bottom style="thin">
          <color rgb="FFFF0000"/>
        </bottom>
      </border>
    </dxf>
    <dxf>
      <font>
        <b/>
        <i val="0"/>
      </font>
      <border>
        <left/>
        <right/>
        <top style="thin">
          <color rgb="FFFF0000"/>
        </top>
        <bottom style="thin">
          <color rgb="FFFF0000"/>
        </bottom>
      </border>
    </dxf>
    <dxf>
      <font>
        <b/>
        <i val="0"/>
      </font>
      <border>
        <left/>
        <right/>
        <top style="thin">
          <color rgb="FFFF0000"/>
        </top>
        <bottom style="thin">
          <color rgb="FFFF0000"/>
        </bottom>
      </border>
    </dxf>
    <dxf>
      <font>
        <b/>
        <i val="0"/>
      </font>
      <border>
        <left/>
        <right/>
        <top style="thin">
          <color rgb="FFFF0000"/>
        </top>
        <bottom style="thin">
          <color rgb="FFFF0000"/>
        </bottom>
      </border>
    </dxf>
    <dxf>
      <fill>
        <patternFill>
          <bgColor theme="5" tint="0.59996337778862885"/>
        </patternFill>
      </fill>
    </dxf>
    <dxf>
      <font>
        <b/>
        <i val="0"/>
      </font>
      <border>
        <left/>
        <right/>
        <top style="thin">
          <color rgb="FFFF0000"/>
        </top>
        <bottom style="thin">
          <color rgb="FFFF0000"/>
        </bottom>
      </border>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ont>
        <b/>
        <i val="0"/>
      </font>
      <border>
        <left/>
        <right/>
        <top style="thin">
          <color rgb="FFFF0000"/>
        </top>
        <bottom style="thin">
          <color rgb="FFFF0000"/>
        </bottom>
      </border>
    </dxf>
    <dxf>
      <font>
        <b/>
        <i val="0"/>
      </font>
      <border>
        <left/>
        <right/>
        <top style="thin">
          <color rgb="FFFF0000"/>
        </top>
        <bottom style="thin">
          <color rgb="FFFF0000"/>
        </bottom>
      </border>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ont>
        <b/>
        <i val="0"/>
      </font>
      <border>
        <left/>
        <right/>
        <top style="thin">
          <color rgb="FFFF0000"/>
        </top>
        <bottom style="thin">
          <color rgb="FFFF0000"/>
        </bottom>
      </border>
    </dxf>
    <dxf>
      <font>
        <b/>
        <i val="0"/>
      </font>
      <border>
        <left/>
        <right/>
        <top style="thin">
          <color rgb="FFFF0000"/>
        </top>
        <bottom style="thin">
          <color rgb="FFFF0000"/>
        </bottom>
      </border>
    </dxf>
    <dxf>
      <font>
        <b/>
        <i val="0"/>
      </font>
      <border>
        <left/>
        <right/>
        <top style="thin">
          <color rgb="FFFF0000"/>
        </top>
        <bottom style="thin">
          <color rgb="FFFF0000"/>
        </bottom>
      </border>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ont>
        <b/>
        <i val="0"/>
      </font>
      <border>
        <left/>
        <right/>
        <top style="thin">
          <color rgb="FFFF0000"/>
        </top>
        <bottom style="thin">
          <color rgb="FFFF0000"/>
        </bottom>
      </border>
    </dxf>
    <dxf>
      <fill>
        <patternFill>
          <bgColor rgb="FFFF0066"/>
        </patternFill>
      </fill>
    </dxf>
    <dxf>
      <fill>
        <patternFill>
          <bgColor rgb="FF92D050"/>
        </patternFill>
      </fill>
    </dxf>
    <dxf>
      <font>
        <b/>
        <i val="0"/>
      </font>
      <border>
        <left/>
        <right/>
        <top style="thin">
          <color rgb="FFFF0000"/>
        </top>
        <bottom style="thin">
          <color rgb="FFFF0000"/>
        </bottom>
      </border>
    </dxf>
    <dxf>
      <fill>
        <patternFill>
          <bgColor rgb="FFFF0066"/>
        </patternFill>
      </fill>
    </dxf>
    <dxf>
      <fill>
        <patternFill>
          <bgColor rgb="FF92D050"/>
        </patternFill>
      </fill>
    </dxf>
    <dxf>
      <font>
        <b/>
        <i val="0"/>
      </font>
      <border>
        <left/>
        <right/>
        <top style="thin">
          <color rgb="FFFF0000"/>
        </top>
        <bottom style="thin">
          <color rgb="FFFF0000"/>
        </bottom>
      </border>
    </dxf>
    <dxf>
      <fill>
        <patternFill>
          <bgColor rgb="FFFF0066"/>
        </patternFill>
      </fill>
    </dxf>
    <dxf>
      <fill>
        <patternFill>
          <bgColor rgb="FF92D050"/>
        </patternFill>
      </fill>
    </dxf>
    <dxf>
      <font>
        <b/>
        <i val="0"/>
      </font>
      <border>
        <left/>
        <right/>
        <top style="thin">
          <color rgb="FFFF0000"/>
        </top>
        <bottom style="thin">
          <color rgb="FFFF0000"/>
        </bottom>
      </border>
    </dxf>
    <dxf>
      <fill>
        <patternFill>
          <bgColor rgb="FFFFC000"/>
        </patternFill>
      </fill>
    </dxf>
    <dxf>
      <fill>
        <patternFill>
          <bgColor rgb="FFFF0066"/>
        </patternFill>
      </fill>
    </dxf>
    <dxf>
      <fill>
        <patternFill>
          <bgColor rgb="FF92D050"/>
        </patternFill>
      </fill>
    </dxf>
    <dxf>
      <font>
        <b/>
        <i val="0"/>
      </font>
      <border>
        <left/>
        <right/>
        <top style="thin">
          <color rgb="FFFF0000"/>
        </top>
        <bottom style="thin">
          <color rgb="FFFF0000"/>
        </bottom>
      </border>
    </dxf>
    <dxf>
      <fill>
        <patternFill>
          <bgColor rgb="FFFFC000"/>
        </patternFill>
      </fill>
    </dxf>
    <dxf>
      <fill>
        <patternFill>
          <bgColor rgb="FFFF0066"/>
        </patternFill>
      </fill>
    </dxf>
    <dxf>
      <fill>
        <patternFill>
          <bgColor rgb="FF92D050"/>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ont>
        <b/>
        <i val="0"/>
      </font>
      <border>
        <left/>
        <right/>
        <top style="thin">
          <color rgb="FFFF0000"/>
        </top>
        <bottom style="thin">
          <color rgb="FFFF0000"/>
        </bottom>
      </border>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ont>
        <b/>
        <i val="0"/>
      </font>
      <border>
        <left/>
        <right/>
        <top style="thin">
          <color rgb="FFFF0000"/>
        </top>
        <bottom style="thin">
          <color rgb="FFFF0000"/>
        </bottom>
      </border>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5" tint="0.39994506668294322"/>
        </patternFill>
      </fill>
    </dxf>
    <dxf>
      <fill>
        <patternFill>
          <bgColor rgb="FFFFC000"/>
        </patternFill>
      </fill>
    </dxf>
    <dxf>
      <fill>
        <patternFill>
          <bgColor rgb="FFFF0066"/>
        </patternFill>
      </fill>
    </dxf>
    <dxf>
      <fill>
        <patternFill>
          <bgColor rgb="FF92D050"/>
        </patternFill>
      </fill>
    </dxf>
    <dxf>
      <font>
        <b/>
        <i val="0"/>
      </font>
      <border>
        <left/>
        <right/>
        <top style="thin">
          <color rgb="FFFF0000"/>
        </top>
        <bottom style="thin">
          <color rgb="FFFF0000"/>
        </bottom>
      </border>
    </dxf>
  </dxfs>
  <tableStyles count="0" defaultTableStyle="TableStyleMedium2" defaultPivotStyle="PivotStyleLight16"/>
  <colors>
    <mruColors>
      <color rgb="FFCC99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
  <sheetViews>
    <sheetView workbookViewId="0">
      <selection activeCell="B2" sqref="B2"/>
    </sheetView>
  </sheetViews>
  <sheetFormatPr defaultRowHeight="15"/>
  <cols>
    <col min="1" max="1" width="30.85546875" style="4" bestFit="1" customWidth="1"/>
    <col min="2" max="2" width="137.7109375" style="4" customWidth="1"/>
    <col min="3" max="16384" width="9.140625" style="4"/>
  </cols>
  <sheetData>
    <row r="1" spans="1:2">
      <c r="A1" s="110" t="s">
        <v>0</v>
      </c>
      <c r="B1" s="110"/>
    </row>
    <row r="2" spans="1:2">
      <c r="A2" s="9" t="s">
        <v>1</v>
      </c>
      <c r="B2" s="10" t="s">
        <v>2</v>
      </c>
    </row>
    <row r="3" spans="1:2">
      <c r="A3" s="9" t="s">
        <v>3</v>
      </c>
      <c r="B3" s="10" t="s">
        <v>4</v>
      </c>
    </row>
    <row r="4" spans="1:2" ht="30">
      <c r="A4" s="11" t="s">
        <v>5</v>
      </c>
      <c r="B4" s="8" t="s">
        <v>6</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FG1048576"/>
  <sheetViews>
    <sheetView zoomScale="85" zoomScaleNormal="85" workbookViewId="0">
      <pane xSplit="4" ySplit="3" topLeftCell="E46" activePane="bottomRight" state="frozen"/>
      <selection pane="bottomRight" activeCell="A61" sqref="A61:XFD70"/>
      <selection pane="bottomLeft" activeCell="A4" sqref="A4"/>
      <selection pane="topRight" activeCell="E1" sqref="E1"/>
    </sheetView>
  </sheetViews>
  <sheetFormatPr defaultColWidth="0" defaultRowHeight="15" zeroHeight="1"/>
  <cols>
    <col min="1" max="2" width="12.85546875" hidden="1" customWidth="1"/>
    <col min="3" max="3" width="12.7109375" style="1" customWidth="1"/>
    <col min="4" max="4" width="7.42578125" style="1" bestFit="1" customWidth="1"/>
    <col min="5" max="5" width="54.85546875" style="1" customWidth="1"/>
    <col min="6" max="6" width="25.7109375" style="1" bestFit="1" customWidth="1"/>
    <col min="7" max="8" width="28.85546875" style="1" customWidth="1"/>
    <col min="9" max="9" width="12.7109375" style="1" customWidth="1"/>
    <col min="10" max="10" width="21.42578125" style="1" customWidth="1"/>
    <col min="11" max="11" width="16.140625" style="1" bestFit="1" customWidth="1"/>
    <col min="12" max="12" width="15.42578125" style="1" bestFit="1" customWidth="1"/>
    <col min="13" max="13" width="11.140625" style="1" customWidth="1"/>
    <col min="14" max="14" width="9.7109375" style="1" bestFit="1" customWidth="1"/>
    <col min="15" max="15" width="8.5703125" style="1" bestFit="1" customWidth="1"/>
    <col min="16" max="16" width="12.28515625" style="1" bestFit="1" customWidth="1"/>
    <col min="17" max="17" width="55.140625" style="1" customWidth="1"/>
    <col min="18" max="18" width="30.7109375" style="1" customWidth="1"/>
    <col min="19" max="19" width="24.5703125" style="1" bestFit="1" customWidth="1"/>
    <col min="20" max="20" width="18.28515625" style="1" customWidth="1"/>
    <col min="21" max="21" width="31.5703125" style="1" customWidth="1"/>
    <col min="22" max="23" width="25.140625" style="1" customWidth="1"/>
    <col min="24" max="24" width="15.28515625" style="1" customWidth="1"/>
    <col min="25" max="25" width="12.7109375" style="1" customWidth="1"/>
    <col min="26" max="26" width="20.5703125" style="1" customWidth="1"/>
    <col min="27" max="27" width="19.42578125" style="1" customWidth="1"/>
    <col min="28" max="28" width="14.7109375" style="1" customWidth="1"/>
    <col min="29" max="29" width="8" style="1" customWidth="1"/>
    <col min="30" max="30" width="10.140625" style="1" customWidth="1"/>
    <col min="31" max="31" width="9.140625" style="1" customWidth="1"/>
    <col min="32" max="32" width="9.7109375" style="1" bestFit="1" customWidth="1"/>
    <col min="33" max="33" width="11.7109375" style="1" customWidth="1"/>
    <col min="34" max="35" width="18.28515625" style="1" customWidth="1"/>
    <col min="36" max="36" width="14.5703125" style="1" bestFit="1" customWidth="1"/>
    <col min="37" max="37" width="27.28515625" style="1" customWidth="1"/>
    <col min="38" max="38" width="9.7109375" style="1" customWidth="1"/>
    <col min="39" max="39" width="25" style="1" bestFit="1" customWidth="1"/>
    <col min="40" max="40" width="9.85546875" style="1" customWidth="1"/>
    <col min="41" max="41" width="20.7109375" style="1" bestFit="1" customWidth="1"/>
    <col min="42" max="42" width="15" style="1" customWidth="1"/>
    <col min="43" max="43" width="12" style="1" customWidth="1"/>
    <col min="44" max="44" width="11.7109375" style="1" customWidth="1"/>
    <col min="45" max="45" width="12.28515625" style="1" customWidth="1"/>
    <col min="46" max="46" width="20.5703125" style="1" customWidth="1"/>
    <col min="47" max="47" width="9.5703125" style="1" bestFit="1" customWidth="1"/>
    <col min="48" max="49" width="9.5703125" style="1" customWidth="1"/>
    <col min="50" max="50" width="9.5703125" style="1" bestFit="1" customWidth="1"/>
    <col min="51" max="51" width="19.28515625" style="1" bestFit="1" customWidth="1"/>
    <col min="52" max="52" width="9.5703125" style="1" bestFit="1" customWidth="1"/>
    <col min="53" max="53" width="19.28515625" style="1" bestFit="1" customWidth="1"/>
    <col min="54" max="54" width="14.28515625" style="1" bestFit="1" customWidth="1"/>
    <col min="55" max="55" width="17" style="1" bestFit="1" customWidth="1"/>
    <col min="56" max="56" width="14.42578125" style="1" bestFit="1" customWidth="1"/>
    <col min="57" max="57" width="17" style="1" bestFit="1" customWidth="1"/>
    <col min="58" max="58" width="9.140625" style="1" customWidth="1"/>
    <col min="59" max="59" width="16.28515625" style="1" bestFit="1" customWidth="1"/>
    <col min="60" max="60" width="9.5703125" style="1" bestFit="1" customWidth="1"/>
    <col min="61" max="61" width="15.5703125" style="1" bestFit="1" customWidth="1"/>
    <col min="62" max="62" width="9.85546875" style="1" bestFit="1" customWidth="1"/>
    <col min="63" max="63" width="16.7109375" style="1" bestFit="1" customWidth="1"/>
    <col min="64" max="64" width="14.7109375" style="1" customWidth="1"/>
    <col min="65" max="65" width="35" style="1" customWidth="1"/>
    <col min="66" max="66" width="12.5703125" style="1" customWidth="1"/>
    <col min="67" max="68" width="28" style="1" customWidth="1"/>
    <col min="69" max="69" width="23" style="1" customWidth="1"/>
    <col min="70" max="70" width="13.7109375" style="1" customWidth="1"/>
    <col min="71" max="71" width="20.140625" style="1" customWidth="1"/>
    <col min="72" max="72" width="8" style="1" customWidth="1"/>
    <col min="73" max="73" width="20" style="1" customWidth="1"/>
    <col min="74" max="74" width="10.5703125" style="1" customWidth="1"/>
    <col min="75" max="75" width="14.140625" style="1" customWidth="1"/>
    <col min="76" max="76" width="16.5703125" style="1" bestFit="1" customWidth="1"/>
    <col min="77" max="77" width="6" style="1" bestFit="1" customWidth="1"/>
    <col min="78" max="78" width="21.85546875" style="1" customWidth="1"/>
    <col min="79" max="79" width="11.7109375" style="1" customWidth="1"/>
    <col min="80" max="80" width="32.42578125" style="1" customWidth="1"/>
    <col min="81" max="81" width="38.7109375" style="1" customWidth="1"/>
    <col min="82" max="82" width="37.42578125" style="1" customWidth="1"/>
    <col min="83" max="83" width="17.85546875" style="1" customWidth="1"/>
    <col min="84" max="84" width="20.140625" style="1" customWidth="1"/>
    <col min="85" max="85" width="11.42578125" style="1" customWidth="1"/>
    <col min="86" max="86" width="14.42578125" style="1" customWidth="1"/>
    <col min="87" max="87" width="11" style="1" bestFit="1" customWidth="1"/>
    <col min="88" max="88" width="20" style="1" customWidth="1"/>
    <col min="89" max="89" width="21.85546875" style="1" customWidth="1"/>
    <col min="90" max="90" width="12.7109375" style="1" customWidth="1"/>
    <col min="91" max="91" width="11.140625" style="1" customWidth="1"/>
    <col min="92" max="92" width="17.140625" style="1" customWidth="1"/>
    <col min="93" max="93" width="11.140625" style="1" customWidth="1"/>
    <col min="94" max="94" width="16.42578125" style="1" customWidth="1"/>
    <col min="95" max="95" width="13" style="1" customWidth="1"/>
    <col min="96" max="96" width="14.5703125" style="1" customWidth="1"/>
    <col min="97" max="97" width="13" style="1" customWidth="1"/>
    <col min="98" max="98" width="14.5703125" style="1" customWidth="1"/>
    <col min="99" max="99" width="13" style="1" customWidth="1"/>
    <col min="100" max="100" width="13.7109375" style="1" customWidth="1"/>
    <col min="101" max="101" width="13" style="1" customWidth="1"/>
    <col min="102" max="102" width="12.85546875" style="1" customWidth="1"/>
    <col min="103" max="103" width="13" style="1" customWidth="1"/>
    <col min="104" max="104" width="17.28515625" style="1" customWidth="1"/>
    <col min="105" max="105" width="13" style="1" customWidth="1"/>
    <col min="106" max="106" width="13.7109375" style="1" bestFit="1" customWidth="1"/>
    <col min="107" max="107" width="13" style="1" customWidth="1"/>
    <col min="108" max="108" width="12.7109375" style="1" customWidth="1"/>
    <col min="109" max="109" width="26.5703125" style="1" customWidth="1"/>
    <col min="110" max="110" width="35.28515625" style="1" customWidth="1"/>
    <col min="111" max="111" width="11" style="1" customWidth="1"/>
    <col min="112" max="112" width="9.28515625" style="1" customWidth="1"/>
    <col min="113" max="113" width="11.7109375" style="1" customWidth="1"/>
    <col min="114" max="114" width="10.85546875" style="1" customWidth="1"/>
    <col min="115" max="115" width="8.5703125" style="1" bestFit="1" customWidth="1"/>
    <col min="116" max="116" width="11.42578125" style="1" customWidth="1"/>
    <col min="117" max="117" width="15.140625" style="1" customWidth="1"/>
    <col min="118" max="118" width="45.28515625" style="1" bestFit="1" customWidth="1"/>
    <col min="119" max="119" width="39.5703125" style="1" customWidth="1"/>
    <col min="120" max="125" width="17.42578125" style="1" customWidth="1"/>
    <col min="126" max="126" width="22.42578125" style="1" customWidth="1"/>
    <col min="127" max="127" width="18.7109375" style="1" customWidth="1"/>
    <col min="128" max="128" width="50" style="1" customWidth="1"/>
    <col min="129" max="129" width="45" style="1" customWidth="1"/>
    <col min="130" max="130" width="16.140625" style="1" customWidth="1"/>
    <col min="131" max="131" width="20" style="1" customWidth="1"/>
    <col min="132" max="132" width="10" style="1" customWidth="1"/>
    <col min="133" max="133" width="19.7109375" style="1" customWidth="1"/>
    <col min="134" max="134" width="21.85546875" style="1" customWidth="1"/>
    <col min="135" max="135" width="16.85546875" style="1" customWidth="1"/>
    <col min="136" max="136" width="17.42578125" style="1" customWidth="1"/>
    <col min="137" max="137" width="29.140625" style="1" customWidth="1"/>
    <col min="138" max="138" width="26.140625" style="1" customWidth="1"/>
    <col min="139" max="139" width="49" style="1" customWidth="1"/>
    <col min="140" max="140" width="25.28515625" style="1" customWidth="1"/>
    <col min="141" max="141" width="16.42578125" style="1" customWidth="1"/>
    <col min="142" max="142" width="29.140625" style="1" customWidth="1"/>
    <col min="143" max="143" width="30.5703125" style="1" customWidth="1"/>
    <col min="144" max="144" width="33.140625" style="1" customWidth="1"/>
    <col min="145" max="145" width="25.28515625" style="1" customWidth="1"/>
    <col min="146" max="146" width="19" style="1" customWidth="1"/>
    <col min="147" max="147" width="15.7109375" style="1" customWidth="1"/>
    <col min="148" max="148" width="17.85546875" style="1" customWidth="1"/>
    <col min="149" max="149" width="18.7109375" style="57" customWidth="1"/>
    <col min="150" max="150" width="31.28515625" style="1" customWidth="1"/>
    <col min="151" max="151" width="15.7109375" style="6" customWidth="1"/>
    <col min="152" max="152" width="27" style="1" customWidth="1"/>
    <col min="153" max="153" width="14.140625" style="1" customWidth="1"/>
    <col min="154" max="154" width="22.140625" style="1" customWidth="1"/>
    <col min="155" max="155" width="18.28515625" style="1" customWidth="1"/>
    <col min="156" max="156" width="16.5703125" style="1" customWidth="1"/>
    <col min="157" max="157" width="11.5703125" style="1" customWidth="1"/>
    <col min="158" max="158" width="21.85546875" style="1" customWidth="1"/>
    <col min="159" max="159" width="16.140625" style="1" customWidth="1"/>
    <col min="160" max="160" width="19.7109375" style="1" customWidth="1"/>
    <col min="161" max="162" width="14" style="6" customWidth="1"/>
    <col min="163" max="163" width="14" style="18" customWidth="1"/>
    <col min="164" max="16384" width="9.140625" hidden="1"/>
  </cols>
  <sheetData>
    <row r="1" spans="1:163" ht="15" customHeight="1">
      <c r="A1" s="123" t="s">
        <v>7</v>
      </c>
      <c r="B1" s="124"/>
      <c r="C1" s="124"/>
      <c r="D1" s="124"/>
      <c r="E1" s="124"/>
      <c r="F1" s="124"/>
      <c r="G1" s="124"/>
      <c r="H1" s="127"/>
      <c r="I1" s="122" t="s">
        <v>8</v>
      </c>
      <c r="J1" s="122"/>
      <c r="K1" s="122"/>
      <c r="L1" s="122"/>
      <c r="M1" s="122"/>
      <c r="N1" s="122"/>
      <c r="O1" s="122"/>
      <c r="P1" s="122"/>
      <c r="Q1" s="122"/>
      <c r="R1" s="122"/>
      <c r="S1" s="122"/>
      <c r="T1" s="122"/>
      <c r="U1" s="122"/>
      <c r="V1" s="141" t="s">
        <v>9</v>
      </c>
      <c r="W1" s="141"/>
      <c r="X1" s="141"/>
      <c r="Y1" s="141"/>
      <c r="Z1" s="141"/>
      <c r="AA1" s="141"/>
      <c r="AB1" s="145" t="s">
        <v>10</v>
      </c>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13" t="s">
        <v>11</v>
      </c>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46" t="s">
        <v>12</v>
      </c>
      <c r="CM1" s="146"/>
      <c r="CN1" s="146"/>
      <c r="CO1" s="146"/>
      <c r="CP1" s="146"/>
      <c r="CQ1" s="146"/>
      <c r="CR1" s="146"/>
      <c r="CS1" s="146"/>
      <c r="CT1" s="146"/>
      <c r="CU1" s="146"/>
      <c r="CV1" s="146"/>
      <c r="CW1" s="146"/>
      <c r="CX1" s="146"/>
      <c r="CY1" s="146"/>
      <c r="CZ1" s="146"/>
      <c r="DA1" s="146"/>
      <c r="DB1" s="146"/>
      <c r="DC1" s="146"/>
      <c r="DD1" s="146"/>
      <c r="DE1" s="146"/>
      <c r="DF1" s="122" t="s">
        <v>13</v>
      </c>
      <c r="DG1" s="122"/>
      <c r="DH1" s="122"/>
      <c r="DI1" s="122"/>
      <c r="DJ1" s="122"/>
      <c r="DK1" s="122"/>
      <c r="DL1" s="122"/>
      <c r="DM1" s="121" t="s">
        <v>14</v>
      </c>
      <c r="DN1" s="121"/>
      <c r="DO1" s="121"/>
      <c r="DP1" s="121"/>
      <c r="DQ1" s="121"/>
      <c r="DR1" s="121"/>
      <c r="DS1" s="121"/>
      <c r="DT1" s="121"/>
      <c r="DU1" s="121"/>
      <c r="DV1" s="121"/>
      <c r="DW1" s="121"/>
      <c r="DX1" s="121"/>
      <c r="DY1" s="121"/>
      <c r="DZ1" s="121"/>
      <c r="EA1" s="121"/>
      <c r="EB1" s="139" t="s">
        <v>15</v>
      </c>
      <c r="EC1" s="139"/>
      <c r="ED1" s="139"/>
      <c r="EE1" s="139"/>
      <c r="EF1" s="139"/>
      <c r="EG1" s="139"/>
      <c r="EH1" s="139"/>
      <c r="EI1" s="139"/>
      <c r="EJ1" s="139"/>
      <c r="EK1" s="139"/>
      <c r="EL1" s="129" t="s">
        <v>16</v>
      </c>
      <c r="EM1" s="130"/>
      <c r="EN1" s="130"/>
      <c r="EO1" s="130"/>
      <c r="EP1" s="131"/>
      <c r="EQ1" s="133" t="s">
        <v>17</v>
      </c>
      <c r="ER1" s="134"/>
      <c r="ES1" s="134"/>
      <c r="ET1" s="134"/>
      <c r="EU1" s="135"/>
      <c r="EV1" s="125" t="s">
        <v>18</v>
      </c>
      <c r="EW1" s="125"/>
      <c r="EX1" s="125"/>
      <c r="EY1" s="111" t="s">
        <v>19</v>
      </c>
      <c r="EZ1" s="111"/>
      <c r="FA1" s="112" t="s">
        <v>20</v>
      </c>
      <c r="FB1" s="112"/>
      <c r="FC1" s="124" t="s">
        <v>21</v>
      </c>
      <c r="FD1" s="124"/>
      <c r="FE1" s="132" t="s">
        <v>22</v>
      </c>
      <c r="FF1" s="132"/>
      <c r="FG1" s="132"/>
    </row>
    <row r="2" spans="1:163" s="1" customFormat="1" ht="15" customHeight="1">
      <c r="A2" s="124"/>
      <c r="B2" s="124"/>
      <c r="C2" s="124"/>
      <c r="D2" s="124"/>
      <c r="E2" s="124"/>
      <c r="F2" s="124"/>
      <c r="G2" s="124"/>
      <c r="H2" s="128"/>
      <c r="I2" s="140" t="s">
        <v>23</v>
      </c>
      <c r="J2" s="140"/>
      <c r="K2" s="140"/>
      <c r="L2" s="140"/>
      <c r="M2" s="122" t="s">
        <v>24</v>
      </c>
      <c r="N2" s="122"/>
      <c r="O2" s="122"/>
      <c r="P2" s="140" t="s">
        <v>25</v>
      </c>
      <c r="Q2" s="140"/>
      <c r="R2" s="122" t="s">
        <v>26</v>
      </c>
      <c r="S2" s="122"/>
      <c r="T2" s="122"/>
      <c r="U2" s="122"/>
      <c r="V2" s="141"/>
      <c r="W2" s="141"/>
      <c r="X2" s="141"/>
      <c r="Y2" s="141"/>
      <c r="Z2" s="141"/>
      <c r="AA2" s="141"/>
      <c r="AB2" s="143" t="s">
        <v>27</v>
      </c>
      <c r="AC2" s="143"/>
      <c r="AD2" s="143"/>
      <c r="AE2" s="143"/>
      <c r="AF2" s="143"/>
      <c r="AG2" s="143"/>
      <c r="AH2" s="143"/>
      <c r="AI2" s="143"/>
      <c r="AJ2" s="143"/>
      <c r="AK2" s="143"/>
      <c r="AL2" s="143"/>
      <c r="AM2" s="143"/>
      <c r="AN2" s="143"/>
      <c r="AO2" s="143"/>
      <c r="AP2" s="143"/>
      <c r="AQ2" s="143"/>
      <c r="AR2" s="143"/>
      <c r="AS2" s="143"/>
      <c r="AT2" s="143"/>
      <c r="AU2" s="126" t="s">
        <v>28</v>
      </c>
      <c r="AV2" s="126"/>
      <c r="AW2" s="126"/>
      <c r="AX2" s="126"/>
      <c r="AY2" s="126"/>
      <c r="AZ2" s="126"/>
      <c r="BA2" s="126"/>
      <c r="BB2" s="126"/>
      <c r="BC2" s="126"/>
      <c r="BD2" s="126"/>
      <c r="BE2" s="126"/>
      <c r="BF2" s="126"/>
      <c r="BG2" s="126"/>
      <c r="BH2" s="126"/>
      <c r="BI2" s="126"/>
      <c r="BJ2" s="126"/>
      <c r="BK2" s="126"/>
      <c r="BL2" s="115" t="s">
        <v>29</v>
      </c>
      <c r="BM2" s="115"/>
      <c r="BN2" s="114" t="s">
        <v>30</v>
      </c>
      <c r="BO2" s="114"/>
      <c r="BP2" s="114"/>
      <c r="BQ2" s="114"/>
      <c r="BR2" s="114"/>
      <c r="BS2" s="114"/>
      <c r="BT2" s="114"/>
      <c r="BU2" s="114"/>
      <c r="BV2" s="114"/>
      <c r="BW2" s="115" t="s">
        <v>31</v>
      </c>
      <c r="BX2" s="115"/>
      <c r="BY2" s="115"/>
      <c r="BZ2" s="115"/>
      <c r="CA2" s="115"/>
      <c r="CB2" s="114" t="s">
        <v>32</v>
      </c>
      <c r="CC2" s="114"/>
      <c r="CD2" s="114"/>
      <c r="CE2" s="114"/>
      <c r="CF2" s="114"/>
      <c r="CG2" s="114"/>
      <c r="CH2" s="114"/>
      <c r="CI2" s="114"/>
      <c r="CJ2" s="114"/>
      <c r="CK2" s="114"/>
      <c r="CL2" s="142" t="s">
        <v>33</v>
      </c>
      <c r="CM2" s="142"/>
      <c r="CN2" s="142"/>
      <c r="CO2" s="142"/>
      <c r="CP2" s="142"/>
      <c r="CQ2" s="142"/>
      <c r="CR2" s="142"/>
      <c r="CS2" s="142"/>
      <c r="CT2" s="142"/>
      <c r="CU2" s="142"/>
      <c r="CV2" s="142"/>
      <c r="CW2" s="142"/>
      <c r="CX2" s="142"/>
      <c r="CY2" s="142"/>
      <c r="CZ2" s="142"/>
      <c r="DA2" s="142"/>
      <c r="DB2" s="142"/>
      <c r="DC2" s="142"/>
      <c r="DD2" s="142"/>
      <c r="DE2" s="142"/>
      <c r="DF2" s="144" t="s">
        <v>34</v>
      </c>
      <c r="DG2" s="144"/>
      <c r="DH2" s="144"/>
      <c r="DI2" s="144"/>
      <c r="DJ2" s="144"/>
      <c r="DK2" s="144"/>
      <c r="DL2" s="144"/>
      <c r="DM2" s="116" t="s">
        <v>35</v>
      </c>
      <c r="DN2" s="116"/>
      <c r="DO2" s="116"/>
      <c r="DP2" s="116"/>
      <c r="DQ2" s="116"/>
      <c r="DR2" s="120" t="s">
        <v>36</v>
      </c>
      <c r="DS2" s="120"/>
      <c r="DT2" s="120"/>
      <c r="DU2" s="120"/>
      <c r="DV2" s="120"/>
      <c r="DW2" s="117" t="s">
        <v>37</v>
      </c>
      <c r="DX2" s="117"/>
      <c r="DY2" s="117"/>
      <c r="DZ2" s="117"/>
      <c r="EA2" s="117"/>
      <c r="EB2" s="118" t="s">
        <v>38</v>
      </c>
      <c r="EC2" s="118"/>
      <c r="ED2" s="118"/>
      <c r="EE2" s="118"/>
      <c r="EF2" s="118"/>
      <c r="EG2" s="119" t="s">
        <v>39</v>
      </c>
      <c r="EH2" s="119"/>
      <c r="EI2" s="119"/>
      <c r="EJ2" s="119"/>
      <c r="EK2" s="119"/>
      <c r="EL2" s="120" t="s">
        <v>40</v>
      </c>
      <c r="EM2" s="120"/>
      <c r="EN2" s="120"/>
      <c r="EO2" s="120"/>
      <c r="EP2" s="120"/>
      <c r="EQ2" s="136"/>
      <c r="ER2" s="137"/>
      <c r="ES2" s="137"/>
      <c r="ET2" s="137"/>
      <c r="EU2" s="138"/>
      <c r="EV2" s="125"/>
      <c r="EW2" s="125"/>
      <c r="EX2" s="125"/>
      <c r="EY2" s="111"/>
      <c r="EZ2" s="111"/>
      <c r="FA2" s="112"/>
      <c r="FB2" s="112"/>
      <c r="FC2" s="124"/>
      <c r="FD2" s="124"/>
      <c r="FE2" s="132"/>
      <c r="FF2" s="132"/>
      <c r="FG2" s="132"/>
    </row>
    <row r="3" spans="1:163" s="1" customFormat="1">
      <c r="A3" s="7" t="s">
        <v>41</v>
      </c>
      <c r="B3" s="7" t="s">
        <v>42</v>
      </c>
      <c r="C3" s="60" t="s">
        <v>43</v>
      </c>
      <c r="D3" s="60" t="s">
        <v>44</v>
      </c>
      <c r="E3" s="60" t="s">
        <v>45</v>
      </c>
      <c r="F3" s="60" t="s">
        <v>46</v>
      </c>
      <c r="G3" s="60" t="s">
        <v>47</v>
      </c>
      <c r="H3" s="60" t="s">
        <v>48</v>
      </c>
      <c r="I3" s="61" t="s">
        <v>49</v>
      </c>
      <c r="J3" s="61" t="s">
        <v>50</v>
      </c>
      <c r="K3" s="61" t="s">
        <v>51</v>
      </c>
      <c r="L3" s="61" t="s">
        <v>52</v>
      </c>
      <c r="M3" s="62" t="s">
        <v>53</v>
      </c>
      <c r="N3" s="62" t="s">
        <v>54</v>
      </c>
      <c r="O3" s="62" t="s">
        <v>55</v>
      </c>
      <c r="P3" s="61" t="s">
        <v>56</v>
      </c>
      <c r="Q3" s="61" t="s">
        <v>57</v>
      </c>
      <c r="R3" s="62" t="s">
        <v>58</v>
      </c>
      <c r="S3" s="62" t="s">
        <v>59</v>
      </c>
      <c r="T3" s="62" t="s">
        <v>60</v>
      </c>
      <c r="U3" s="62" t="s">
        <v>61</v>
      </c>
      <c r="V3" s="63" t="s">
        <v>62</v>
      </c>
      <c r="W3" s="63" t="s">
        <v>63</v>
      </c>
      <c r="X3" s="63" t="s">
        <v>64</v>
      </c>
      <c r="Y3" s="63" t="s">
        <v>65</v>
      </c>
      <c r="Z3" s="63" t="s">
        <v>66</v>
      </c>
      <c r="AA3" s="63" t="s">
        <v>67</v>
      </c>
      <c r="AB3" s="64" t="s">
        <v>68</v>
      </c>
      <c r="AC3" s="64" t="s">
        <v>69</v>
      </c>
      <c r="AD3" s="64" t="s">
        <v>70</v>
      </c>
      <c r="AE3" s="64" t="s">
        <v>71</v>
      </c>
      <c r="AF3" s="64" t="s">
        <v>72</v>
      </c>
      <c r="AG3" s="64" t="s">
        <v>73</v>
      </c>
      <c r="AH3" s="64" t="s">
        <v>74</v>
      </c>
      <c r="AI3" s="64"/>
      <c r="AJ3" s="64" t="s">
        <v>75</v>
      </c>
      <c r="AK3" s="64" t="s">
        <v>76</v>
      </c>
      <c r="AL3" s="64" t="s">
        <v>77</v>
      </c>
      <c r="AM3" s="64" t="s">
        <v>78</v>
      </c>
      <c r="AN3" s="64" t="s">
        <v>79</v>
      </c>
      <c r="AO3" s="64" t="s">
        <v>80</v>
      </c>
      <c r="AP3" s="64" t="s">
        <v>81</v>
      </c>
      <c r="AQ3" s="64" t="s">
        <v>82</v>
      </c>
      <c r="AR3" s="64" t="s">
        <v>83</v>
      </c>
      <c r="AS3" s="64" t="s">
        <v>84</v>
      </c>
      <c r="AT3" s="64" t="s">
        <v>85</v>
      </c>
      <c r="AU3" s="65" t="s">
        <v>86</v>
      </c>
      <c r="AV3" s="65" t="s">
        <v>87</v>
      </c>
      <c r="AW3" s="65" t="s">
        <v>88</v>
      </c>
      <c r="AX3" s="65" t="s">
        <v>89</v>
      </c>
      <c r="AY3" s="65" t="s">
        <v>90</v>
      </c>
      <c r="AZ3" s="65" t="s">
        <v>91</v>
      </c>
      <c r="BA3" s="65" t="s">
        <v>92</v>
      </c>
      <c r="BB3" s="65" t="s">
        <v>93</v>
      </c>
      <c r="BC3" s="65" t="s">
        <v>94</v>
      </c>
      <c r="BD3" s="65" t="s">
        <v>95</v>
      </c>
      <c r="BE3" s="65" t="s">
        <v>96</v>
      </c>
      <c r="BF3" s="65" t="s">
        <v>97</v>
      </c>
      <c r="BG3" s="65" t="s">
        <v>98</v>
      </c>
      <c r="BH3" s="65" t="s">
        <v>99</v>
      </c>
      <c r="BI3" s="65" t="s">
        <v>100</v>
      </c>
      <c r="BJ3" s="65" t="s">
        <v>101</v>
      </c>
      <c r="BK3" s="65" t="s">
        <v>102</v>
      </c>
      <c r="BL3" s="66" t="s">
        <v>103</v>
      </c>
      <c r="BM3" s="66" t="s">
        <v>104</v>
      </c>
      <c r="BN3" s="67" t="s">
        <v>105</v>
      </c>
      <c r="BO3" s="67" t="s">
        <v>106</v>
      </c>
      <c r="BP3" s="67" t="s">
        <v>107</v>
      </c>
      <c r="BQ3" s="67" t="s">
        <v>108</v>
      </c>
      <c r="BR3" s="67" t="s">
        <v>109</v>
      </c>
      <c r="BS3" s="67" t="s">
        <v>110</v>
      </c>
      <c r="BT3" s="67" t="s">
        <v>111</v>
      </c>
      <c r="BU3" s="67" t="s">
        <v>112</v>
      </c>
      <c r="BV3" s="67" t="s">
        <v>113</v>
      </c>
      <c r="BW3" s="66" t="s">
        <v>114</v>
      </c>
      <c r="BX3" s="66" t="s">
        <v>115</v>
      </c>
      <c r="BY3" s="66" t="s">
        <v>116</v>
      </c>
      <c r="BZ3" s="66" t="s">
        <v>112</v>
      </c>
      <c r="CA3" s="66" t="s">
        <v>113</v>
      </c>
      <c r="CB3" s="67" t="s">
        <v>117</v>
      </c>
      <c r="CC3" s="67" t="s">
        <v>118</v>
      </c>
      <c r="CD3" s="67" t="s">
        <v>119</v>
      </c>
      <c r="CE3" s="67" t="s">
        <v>120</v>
      </c>
      <c r="CF3" s="67" t="s">
        <v>121</v>
      </c>
      <c r="CG3" s="67" t="s">
        <v>122</v>
      </c>
      <c r="CH3" s="67" t="s">
        <v>123</v>
      </c>
      <c r="CI3" s="67" t="s">
        <v>111</v>
      </c>
      <c r="CJ3" s="67" t="s">
        <v>112</v>
      </c>
      <c r="CK3" s="67" t="s">
        <v>113</v>
      </c>
      <c r="CL3" s="68" t="s">
        <v>124</v>
      </c>
      <c r="CM3" s="63" t="s">
        <v>125</v>
      </c>
      <c r="CN3" s="68" t="s">
        <v>126</v>
      </c>
      <c r="CO3" s="63" t="s">
        <v>127</v>
      </c>
      <c r="CP3" s="68" t="s">
        <v>128</v>
      </c>
      <c r="CQ3" s="63" t="s">
        <v>129</v>
      </c>
      <c r="CR3" s="68" t="s">
        <v>130</v>
      </c>
      <c r="CS3" s="63" t="s">
        <v>131</v>
      </c>
      <c r="CT3" s="68" t="s">
        <v>132</v>
      </c>
      <c r="CU3" s="63" t="s">
        <v>133</v>
      </c>
      <c r="CV3" s="68" t="s">
        <v>134</v>
      </c>
      <c r="CW3" s="63" t="s">
        <v>135</v>
      </c>
      <c r="CX3" s="68" t="s">
        <v>136</v>
      </c>
      <c r="CY3" s="63" t="s">
        <v>137</v>
      </c>
      <c r="CZ3" s="68" t="s">
        <v>138</v>
      </c>
      <c r="DA3" s="63" t="s">
        <v>139</v>
      </c>
      <c r="DB3" s="68" t="s">
        <v>140</v>
      </c>
      <c r="DC3" s="63" t="s">
        <v>141</v>
      </c>
      <c r="DD3" s="68" t="s">
        <v>142</v>
      </c>
      <c r="DE3" s="63" t="s">
        <v>143</v>
      </c>
      <c r="DF3" s="10" t="s">
        <v>144</v>
      </c>
      <c r="DG3" s="10" t="s">
        <v>145</v>
      </c>
      <c r="DH3" s="10" t="s">
        <v>146</v>
      </c>
      <c r="DI3" s="10" t="s">
        <v>147</v>
      </c>
      <c r="DJ3" s="10" t="s">
        <v>148</v>
      </c>
      <c r="DK3" s="10" t="s">
        <v>149</v>
      </c>
      <c r="DL3" s="10" t="s">
        <v>150</v>
      </c>
      <c r="DM3" s="69" t="s">
        <v>151</v>
      </c>
      <c r="DN3" s="69" t="s">
        <v>152</v>
      </c>
      <c r="DO3" s="69" t="s">
        <v>153</v>
      </c>
      <c r="DP3" s="69" t="s">
        <v>154</v>
      </c>
      <c r="DQ3" s="69" t="s">
        <v>155</v>
      </c>
      <c r="DR3" s="70" t="s">
        <v>156</v>
      </c>
      <c r="DS3" s="70" t="s">
        <v>157</v>
      </c>
      <c r="DT3" s="70" t="s">
        <v>153</v>
      </c>
      <c r="DU3" s="70" t="s">
        <v>158</v>
      </c>
      <c r="DV3" s="70" t="s">
        <v>159</v>
      </c>
      <c r="DW3" s="69" t="s">
        <v>160</v>
      </c>
      <c r="DX3" s="69" t="s">
        <v>161</v>
      </c>
      <c r="DY3" s="69" t="s">
        <v>162</v>
      </c>
      <c r="DZ3" s="69" t="s">
        <v>163</v>
      </c>
      <c r="EA3" s="69" t="s">
        <v>164</v>
      </c>
      <c r="EB3" s="71" t="s">
        <v>165</v>
      </c>
      <c r="EC3" s="71" t="s">
        <v>166</v>
      </c>
      <c r="ED3" s="71" t="s">
        <v>162</v>
      </c>
      <c r="EE3" s="71" t="s">
        <v>167</v>
      </c>
      <c r="EF3" s="71" t="s">
        <v>168</v>
      </c>
      <c r="EG3" s="72" t="s">
        <v>169</v>
      </c>
      <c r="EH3" s="72" t="s">
        <v>170</v>
      </c>
      <c r="EI3" s="72" t="s">
        <v>162</v>
      </c>
      <c r="EJ3" s="72" t="s">
        <v>171</v>
      </c>
      <c r="EK3" s="72" t="s">
        <v>172</v>
      </c>
      <c r="EL3" s="70" t="s">
        <v>173</v>
      </c>
      <c r="EM3" s="70" t="s">
        <v>174</v>
      </c>
      <c r="EN3" s="70" t="s">
        <v>162</v>
      </c>
      <c r="EO3" s="70" t="s">
        <v>175</v>
      </c>
      <c r="EP3" s="70" t="s">
        <v>176</v>
      </c>
      <c r="EQ3" s="67" t="s">
        <v>177</v>
      </c>
      <c r="ER3" s="67" t="s">
        <v>178</v>
      </c>
      <c r="ES3" s="73" t="s">
        <v>179</v>
      </c>
      <c r="ET3" s="74" t="s">
        <v>180</v>
      </c>
      <c r="EU3" s="67" t="s">
        <v>48</v>
      </c>
      <c r="EV3" s="75" t="s">
        <v>181</v>
      </c>
      <c r="EW3" s="76" t="s">
        <v>182</v>
      </c>
      <c r="EX3" s="76" t="s">
        <v>183</v>
      </c>
      <c r="EY3" s="60" t="s">
        <v>184</v>
      </c>
      <c r="EZ3" s="60" t="s">
        <v>185</v>
      </c>
      <c r="FA3" s="68" t="s">
        <v>186</v>
      </c>
      <c r="FB3" s="68" t="s">
        <v>187</v>
      </c>
      <c r="FC3" s="60" t="s">
        <v>188</v>
      </c>
      <c r="FD3" s="60" t="s">
        <v>189</v>
      </c>
      <c r="FE3" s="77" t="s">
        <v>190</v>
      </c>
      <c r="FF3" s="77" t="s">
        <v>191</v>
      </c>
      <c r="FG3" s="77" t="s">
        <v>192</v>
      </c>
    </row>
    <row r="4" spans="1:163">
      <c r="A4" s="5"/>
      <c r="B4" s="13" t="s">
        <v>193</v>
      </c>
      <c r="C4" s="150" t="s">
        <v>194</v>
      </c>
      <c r="D4" s="150">
        <v>2015</v>
      </c>
      <c r="E4" s="150" t="s">
        <v>195</v>
      </c>
      <c r="F4" s="150" t="s">
        <v>196</v>
      </c>
      <c r="G4" s="151" t="s">
        <v>197</v>
      </c>
      <c r="H4" s="151" t="s">
        <v>198</v>
      </c>
      <c r="I4" s="151">
        <v>6</v>
      </c>
      <c r="J4" s="151" t="s">
        <v>199</v>
      </c>
      <c r="K4" s="151" t="s">
        <v>200</v>
      </c>
      <c r="L4" s="151" t="s">
        <v>201</v>
      </c>
      <c r="M4" s="152">
        <v>41985</v>
      </c>
      <c r="N4" s="151" t="s">
        <v>202</v>
      </c>
      <c r="O4" s="151">
        <v>2014</v>
      </c>
      <c r="P4" s="151" t="s">
        <v>203</v>
      </c>
      <c r="Q4" s="151" t="s">
        <v>204</v>
      </c>
      <c r="R4" s="151" t="s">
        <v>205</v>
      </c>
      <c r="S4" s="151" t="s">
        <v>206</v>
      </c>
      <c r="T4" s="151" t="s">
        <v>207</v>
      </c>
      <c r="U4" s="151" t="s">
        <v>204</v>
      </c>
      <c r="V4" s="151" t="s">
        <v>200</v>
      </c>
      <c r="W4" s="151" t="s">
        <v>208</v>
      </c>
      <c r="X4" s="151">
        <v>5</v>
      </c>
      <c r="Y4" s="151">
        <v>5</v>
      </c>
      <c r="Z4" s="151">
        <v>5</v>
      </c>
      <c r="AA4" s="151" t="s">
        <v>204</v>
      </c>
      <c r="AB4" s="151">
        <v>633</v>
      </c>
      <c r="AC4" s="151">
        <v>436</v>
      </c>
      <c r="AD4" s="151">
        <f>SUM(AB4-AC4)</f>
        <v>197</v>
      </c>
      <c r="AE4" s="151" t="s">
        <v>209</v>
      </c>
      <c r="AF4" s="151" t="s">
        <v>209</v>
      </c>
      <c r="AG4" s="151">
        <v>44.2</v>
      </c>
      <c r="AH4" s="151" t="s">
        <v>204</v>
      </c>
      <c r="AI4" s="151">
        <f>COUNTIF(AJ4:AN4, "yes")</f>
        <v>1</v>
      </c>
      <c r="AJ4" s="151" t="s">
        <v>210</v>
      </c>
      <c r="AK4" s="151" t="s">
        <v>204</v>
      </c>
      <c r="AL4" s="151" t="s">
        <v>210</v>
      </c>
      <c r="AM4" s="151" t="s">
        <v>204</v>
      </c>
      <c r="AN4" s="151" t="s">
        <v>200</v>
      </c>
      <c r="AO4" s="151" t="s">
        <v>211</v>
      </c>
      <c r="AP4" s="151" t="s">
        <v>200</v>
      </c>
      <c r="AQ4" s="151" t="s">
        <v>210</v>
      </c>
      <c r="AR4" s="151" t="s">
        <v>210</v>
      </c>
      <c r="AS4" s="151" t="s">
        <v>210</v>
      </c>
      <c r="AT4" s="151" t="s">
        <v>210</v>
      </c>
      <c r="AU4" s="151">
        <v>0</v>
      </c>
      <c r="AV4" s="151">
        <v>0</v>
      </c>
      <c r="AW4" s="151" t="s">
        <v>204</v>
      </c>
      <c r="AX4" s="151">
        <v>4</v>
      </c>
      <c r="AY4" s="151" t="s">
        <v>212</v>
      </c>
      <c r="AZ4" s="151">
        <v>1</v>
      </c>
      <c r="BA4" s="151" t="s">
        <v>213</v>
      </c>
      <c r="BB4" s="151">
        <v>0</v>
      </c>
      <c r="BC4" s="151" t="s">
        <v>204</v>
      </c>
      <c r="BD4" s="151">
        <v>0</v>
      </c>
      <c r="BE4" s="151" t="s">
        <v>204</v>
      </c>
      <c r="BF4" s="151">
        <v>0</v>
      </c>
      <c r="BG4" s="151" t="s">
        <v>204</v>
      </c>
      <c r="BH4" s="151">
        <v>0</v>
      </c>
      <c r="BI4" s="151" t="s">
        <v>204</v>
      </c>
      <c r="BJ4" s="151">
        <v>0</v>
      </c>
      <c r="BK4" s="151" t="s">
        <v>204</v>
      </c>
      <c r="BL4" s="151" t="s">
        <v>214</v>
      </c>
      <c r="BM4" s="151" t="s">
        <v>215</v>
      </c>
      <c r="BN4" s="151" t="s">
        <v>210</v>
      </c>
      <c r="BO4" s="151" t="s">
        <v>200</v>
      </c>
      <c r="BP4" s="151" t="s">
        <v>210</v>
      </c>
      <c r="BQ4" s="151" t="s">
        <v>210</v>
      </c>
      <c r="BR4" s="151" t="s">
        <v>210</v>
      </c>
      <c r="BS4" s="151" t="s">
        <v>200</v>
      </c>
      <c r="BT4" s="151" t="s">
        <v>210</v>
      </c>
      <c r="BU4" s="151" t="s">
        <v>204</v>
      </c>
      <c r="BV4" s="151">
        <f>COUNTIF(BN4:BT4, "yes")</f>
        <v>2</v>
      </c>
      <c r="BW4" s="151" t="s">
        <v>203</v>
      </c>
      <c r="BX4" s="151" t="s">
        <v>203</v>
      </c>
      <c r="BY4" s="151" t="s">
        <v>203</v>
      </c>
      <c r="BZ4" s="151" t="s">
        <v>204</v>
      </c>
      <c r="CA4" s="151">
        <f>COUNTIF(BW4:BY4, "yes")</f>
        <v>0</v>
      </c>
      <c r="CB4" s="151" t="s">
        <v>208</v>
      </c>
      <c r="CC4" s="151" t="s">
        <v>200</v>
      </c>
      <c r="CD4" s="151" t="s">
        <v>210</v>
      </c>
      <c r="CE4" s="151" t="s">
        <v>200</v>
      </c>
      <c r="CF4" s="151" t="s">
        <v>210</v>
      </c>
      <c r="CG4" s="151" t="s">
        <v>210</v>
      </c>
      <c r="CH4" s="151" t="s">
        <v>210</v>
      </c>
      <c r="CI4" s="151" t="s">
        <v>210</v>
      </c>
      <c r="CJ4" s="151" t="s">
        <v>204</v>
      </c>
      <c r="CK4" s="151">
        <f>COUNTIF(CB4:CI4, "yes")</f>
        <v>3</v>
      </c>
      <c r="CL4" s="151" t="s">
        <v>216</v>
      </c>
      <c r="CM4" s="151">
        <v>0</v>
      </c>
      <c r="CN4" s="151" t="s">
        <v>217</v>
      </c>
      <c r="CO4" s="151">
        <v>5</v>
      </c>
      <c r="CP4" s="151" t="s">
        <v>216</v>
      </c>
      <c r="CQ4" s="151">
        <v>0</v>
      </c>
      <c r="CR4" s="151" t="s">
        <v>216</v>
      </c>
      <c r="CS4" s="151">
        <v>0</v>
      </c>
      <c r="CT4" s="151" t="s">
        <v>216</v>
      </c>
      <c r="CU4" s="151">
        <v>0</v>
      </c>
      <c r="CV4" s="151" t="s">
        <v>216</v>
      </c>
      <c r="CW4" s="151">
        <v>0</v>
      </c>
      <c r="CX4" s="151" t="s">
        <v>216</v>
      </c>
      <c r="CY4" s="151">
        <v>0</v>
      </c>
      <c r="CZ4" s="151" t="s">
        <v>216</v>
      </c>
      <c r="DA4" s="151">
        <v>0</v>
      </c>
      <c r="DB4" s="151" t="s">
        <v>216</v>
      </c>
      <c r="DC4" s="151">
        <v>0</v>
      </c>
      <c r="DD4" s="151" t="s">
        <v>216</v>
      </c>
      <c r="DE4" s="151">
        <v>0</v>
      </c>
      <c r="DF4" s="151" t="s">
        <v>218</v>
      </c>
      <c r="DG4" s="151" t="s">
        <v>203</v>
      </c>
      <c r="DH4" s="151" t="s">
        <v>203</v>
      </c>
      <c r="DI4" s="151" t="s">
        <v>208</v>
      </c>
      <c r="DJ4" s="151" t="s">
        <v>208</v>
      </c>
      <c r="DK4" s="151" t="s">
        <v>203</v>
      </c>
      <c r="DL4" s="151" t="s">
        <v>208</v>
      </c>
      <c r="DM4" s="151" t="s">
        <v>210</v>
      </c>
      <c r="DN4" s="151" t="s">
        <v>204</v>
      </c>
      <c r="DO4" s="151" t="s">
        <v>210</v>
      </c>
      <c r="DP4" s="151" t="s">
        <v>219</v>
      </c>
      <c r="DQ4" s="151" t="s">
        <v>204</v>
      </c>
      <c r="DR4" s="151" t="s">
        <v>210</v>
      </c>
      <c r="DS4" s="151" t="s">
        <v>204</v>
      </c>
      <c r="DT4" s="151" t="s">
        <v>210</v>
      </c>
      <c r="DU4" s="151" t="s">
        <v>219</v>
      </c>
      <c r="DV4" s="151" t="s">
        <v>204</v>
      </c>
      <c r="DW4" s="151" t="s">
        <v>208</v>
      </c>
      <c r="DX4" s="151" t="s">
        <v>220</v>
      </c>
      <c r="DY4" s="151" t="s">
        <v>219</v>
      </c>
      <c r="DZ4" s="151" t="s">
        <v>221</v>
      </c>
      <c r="EA4" s="151" t="s">
        <v>222</v>
      </c>
      <c r="EB4" s="151" t="s">
        <v>210</v>
      </c>
      <c r="EC4" s="151" t="s">
        <v>204</v>
      </c>
      <c r="ED4" s="151" t="s">
        <v>210</v>
      </c>
      <c r="EE4" s="151" t="s">
        <v>219</v>
      </c>
      <c r="EF4" s="151" t="s">
        <v>204</v>
      </c>
      <c r="EG4" s="151" t="s">
        <v>210</v>
      </c>
      <c r="EH4" s="151" t="s">
        <v>204</v>
      </c>
      <c r="EI4" s="151" t="s">
        <v>210</v>
      </c>
      <c r="EJ4" s="151" t="s">
        <v>219</v>
      </c>
      <c r="EK4" s="151" t="s">
        <v>204</v>
      </c>
      <c r="EL4" s="151" t="s">
        <v>210</v>
      </c>
      <c r="EM4" s="151" t="s">
        <v>204</v>
      </c>
      <c r="EN4" s="151" t="s">
        <v>210</v>
      </c>
      <c r="EO4" s="151" t="s">
        <v>219</v>
      </c>
      <c r="EP4" s="151" t="s">
        <v>204</v>
      </c>
      <c r="EQ4" s="151" t="s">
        <v>200</v>
      </c>
      <c r="ER4" s="151" t="s">
        <v>223</v>
      </c>
      <c r="ES4" s="153" t="s">
        <v>224</v>
      </c>
      <c r="ET4" s="154" t="s">
        <v>225</v>
      </c>
      <c r="EU4" s="151" t="s">
        <v>226</v>
      </c>
      <c r="EV4" s="155" t="s">
        <v>204</v>
      </c>
      <c r="EW4" s="151" t="s">
        <v>204</v>
      </c>
      <c r="EX4" s="151" t="s">
        <v>204</v>
      </c>
      <c r="EY4" s="151" t="s">
        <v>227</v>
      </c>
      <c r="EZ4" s="151" t="s">
        <v>228</v>
      </c>
      <c r="FA4" s="151" t="s">
        <v>200</v>
      </c>
      <c r="FB4" s="151" t="s">
        <v>229</v>
      </c>
      <c r="FC4" s="151" t="s">
        <v>203</v>
      </c>
      <c r="FD4" s="151" t="s">
        <v>230</v>
      </c>
      <c r="FE4" s="151">
        <f>AMSTAR!BG4</f>
        <v>13</v>
      </c>
      <c r="FF4" s="151">
        <f>AMSTAR!BF4</f>
        <v>7.5</v>
      </c>
      <c r="FG4" s="156">
        <f>SUM(FF4/FE4)</f>
        <v>0.57692307692307687</v>
      </c>
    </row>
    <row r="5" spans="1:163">
      <c r="A5" s="5"/>
      <c r="B5" s="12">
        <v>13304</v>
      </c>
      <c r="C5" s="14" t="s">
        <v>231</v>
      </c>
      <c r="D5" s="14">
        <v>2019</v>
      </c>
      <c r="E5" s="14" t="s">
        <v>232</v>
      </c>
      <c r="F5" s="14" t="s">
        <v>233</v>
      </c>
      <c r="G5" s="81" t="s">
        <v>234</v>
      </c>
      <c r="H5" s="5" t="s">
        <v>204</v>
      </c>
      <c r="I5" s="5">
        <v>4</v>
      </c>
      <c r="J5" s="5" t="s">
        <v>235</v>
      </c>
      <c r="K5" s="5" t="s">
        <v>200</v>
      </c>
      <c r="L5" s="5" t="s">
        <v>236</v>
      </c>
      <c r="M5" s="5" t="s">
        <v>237</v>
      </c>
      <c r="N5" s="5" t="s">
        <v>209</v>
      </c>
      <c r="O5" s="82">
        <v>2017</v>
      </c>
      <c r="P5" s="5" t="s">
        <v>200</v>
      </c>
      <c r="Q5" s="5" t="s">
        <v>238</v>
      </c>
      <c r="R5" s="5" t="s">
        <v>239</v>
      </c>
      <c r="S5" s="5" t="s">
        <v>240</v>
      </c>
      <c r="T5" s="5" t="s">
        <v>241</v>
      </c>
      <c r="U5" s="5" t="s">
        <v>242</v>
      </c>
      <c r="V5" s="5" t="s">
        <v>208</v>
      </c>
      <c r="W5" s="5" t="s">
        <v>210</v>
      </c>
      <c r="X5" s="5">
        <v>10</v>
      </c>
      <c r="Y5" s="5">
        <v>10</v>
      </c>
      <c r="Z5" s="5">
        <v>10</v>
      </c>
      <c r="AA5" s="5" t="s">
        <v>243</v>
      </c>
      <c r="AB5" s="5">
        <f>SUM(17+19+13+49+10+22+14+56+11+5)</f>
        <v>216</v>
      </c>
      <c r="AC5" s="5">
        <v>174</v>
      </c>
      <c r="AD5" s="5">
        <v>42</v>
      </c>
      <c r="AE5" s="5">
        <v>18</v>
      </c>
      <c r="AF5" s="5">
        <v>55</v>
      </c>
      <c r="AG5" s="5" t="s">
        <v>209</v>
      </c>
      <c r="AH5" s="5" t="s">
        <v>204</v>
      </c>
      <c r="AI5" s="5">
        <f t="shared" ref="AI5:AI11" si="0">COUNTIF(AJ5:AN5, "yes")</f>
        <v>2</v>
      </c>
      <c r="AJ5" s="5" t="s">
        <v>200</v>
      </c>
      <c r="AK5" s="5" t="s">
        <v>244</v>
      </c>
      <c r="AL5" s="5" t="s">
        <v>200</v>
      </c>
      <c r="AM5" s="5" t="s">
        <v>245</v>
      </c>
      <c r="AN5" s="5" t="s">
        <v>210</v>
      </c>
      <c r="AO5" s="5" t="s">
        <v>204</v>
      </c>
      <c r="AP5" s="5" t="s">
        <v>209</v>
      </c>
      <c r="AQ5" s="5" t="s">
        <v>209</v>
      </c>
      <c r="AR5" s="5" t="s">
        <v>209</v>
      </c>
      <c r="AS5" s="5" t="s">
        <v>209</v>
      </c>
      <c r="AT5" s="5" t="s">
        <v>209</v>
      </c>
      <c r="AU5" s="5">
        <v>0</v>
      </c>
      <c r="AV5" s="5">
        <v>2</v>
      </c>
      <c r="AW5" s="5" t="s">
        <v>246</v>
      </c>
      <c r="AX5" s="5">
        <v>0</v>
      </c>
      <c r="AY5" t="s">
        <v>204</v>
      </c>
      <c r="AZ5" s="5">
        <v>0</v>
      </c>
      <c r="BA5" s="5" t="s">
        <v>204</v>
      </c>
      <c r="BB5" s="5">
        <v>7</v>
      </c>
      <c r="BC5" s="5" t="s">
        <v>247</v>
      </c>
      <c r="BD5" s="5">
        <v>0</v>
      </c>
      <c r="BE5" s="5" t="s">
        <v>204</v>
      </c>
      <c r="BF5" s="5">
        <v>0</v>
      </c>
      <c r="BG5" s="5" t="s">
        <v>204</v>
      </c>
      <c r="BH5" s="5">
        <v>1</v>
      </c>
      <c r="BI5" s="5" t="s">
        <v>248</v>
      </c>
      <c r="BJ5" s="5">
        <v>0</v>
      </c>
      <c r="BK5" s="5" t="s">
        <v>204</v>
      </c>
      <c r="BL5" s="5" t="s">
        <v>249</v>
      </c>
      <c r="BM5" s="5" t="s">
        <v>250</v>
      </c>
      <c r="BN5" s="5" t="s">
        <v>210</v>
      </c>
      <c r="BO5" s="5" t="s">
        <v>200</v>
      </c>
      <c r="BP5" s="5" t="s">
        <v>210</v>
      </c>
      <c r="BQ5" s="5" t="s">
        <v>200</v>
      </c>
      <c r="BR5" s="5" t="s">
        <v>210</v>
      </c>
      <c r="BS5" s="5" t="s">
        <v>210</v>
      </c>
      <c r="BT5" s="5" t="s">
        <v>210</v>
      </c>
      <c r="BU5" s="5" t="s">
        <v>204</v>
      </c>
      <c r="BV5" s="5">
        <f>COUNTIF(BN5:BT5, "yes")</f>
        <v>2</v>
      </c>
      <c r="BW5" s="5" t="s">
        <v>203</v>
      </c>
      <c r="BX5" s="5" t="s">
        <v>203</v>
      </c>
      <c r="BY5" s="5" t="s">
        <v>203</v>
      </c>
      <c r="BZ5" s="5" t="s">
        <v>204</v>
      </c>
      <c r="CA5" s="5">
        <f>COUNTIF(BW5:BY5, "yes")</f>
        <v>0</v>
      </c>
      <c r="CB5" s="5" t="s">
        <v>210</v>
      </c>
      <c r="CC5" s="5" t="s">
        <v>210</v>
      </c>
      <c r="CD5" s="5" t="s">
        <v>210</v>
      </c>
      <c r="CE5" s="5" t="s">
        <v>210</v>
      </c>
      <c r="CF5" s="5" t="s">
        <v>210</v>
      </c>
      <c r="CG5" s="5" t="s">
        <v>210</v>
      </c>
      <c r="CH5" s="5" t="s">
        <v>210</v>
      </c>
      <c r="CI5" s="5" t="s">
        <v>210</v>
      </c>
      <c r="CJ5" s="5" t="s">
        <v>204</v>
      </c>
      <c r="CK5" s="5">
        <f>COUNTIF(CB5:CI5, "yes")</f>
        <v>0</v>
      </c>
      <c r="CL5" s="5" t="s">
        <v>216</v>
      </c>
      <c r="CM5" s="5">
        <v>0</v>
      </c>
      <c r="CN5" s="5" t="s">
        <v>217</v>
      </c>
      <c r="CO5" s="5">
        <v>4</v>
      </c>
      <c r="CP5" s="5" t="s">
        <v>217</v>
      </c>
      <c r="CQ5" s="5">
        <v>1</v>
      </c>
      <c r="CR5" s="5" t="s">
        <v>217</v>
      </c>
      <c r="CS5" s="5">
        <v>5</v>
      </c>
      <c r="CT5" s="5" t="s">
        <v>251</v>
      </c>
      <c r="CU5" s="5">
        <v>0</v>
      </c>
      <c r="CV5" s="5" t="s">
        <v>252</v>
      </c>
      <c r="CW5" s="5">
        <v>0</v>
      </c>
      <c r="CX5" s="5" t="s">
        <v>252</v>
      </c>
      <c r="CY5" s="5">
        <v>0</v>
      </c>
      <c r="CZ5" s="5" t="s">
        <v>252</v>
      </c>
      <c r="DA5" s="5">
        <v>0</v>
      </c>
      <c r="DB5" s="5" t="s">
        <v>252</v>
      </c>
      <c r="DC5" s="5">
        <v>0</v>
      </c>
      <c r="DD5" s="5" t="s">
        <v>252</v>
      </c>
      <c r="DE5" s="5" t="s">
        <v>204</v>
      </c>
      <c r="DF5" s="5" t="s">
        <v>253</v>
      </c>
      <c r="DG5" s="5" t="s">
        <v>210</v>
      </c>
      <c r="DH5" s="5" t="s">
        <v>200</v>
      </c>
      <c r="DI5" s="5" t="s">
        <v>200</v>
      </c>
      <c r="DJ5" s="5" t="s">
        <v>200</v>
      </c>
      <c r="DK5" s="5" t="s">
        <v>254</v>
      </c>
      <c r="DL5" s="5" t="s">
        <v>254</v>
      </c>
      <c r="DM5" s="5" t="s">
        <v>200</v>
      </c>
      <c r="DN5" s="5" t="s">
        <v>255</v>
      </c>
      <c r="DO5" s="5" t="s">
        <v>204</v>
      </c>
      <c r="DP5" s="5" t="s">
        <v>221</v>
      </c>
      <c r="DQ5" s="5" t="s">
        <v>256</v>
      </c>
      <c r="DR5" s="5" t="s">
        <v>210</v>
      </c>
      <c r="DS5" s="5" t="s">
        <v>210</v>
      </c>
      <c r="DT5" s="5" t="s">
        <v>210</v>
      </c>
      <c r="DU5" s="5" t="s">
        <v>219</v>
      </c>
      <c r="DV5" s="5" t="s">
        <v>204</v>
      </c>
      <c r="DW5" s="5" t="s">
        <v>208</v>
      </c>
      <c r="DX5" s="5" t="s">
        <v>257</v>
      </c>
      <c r="DY5" s="5" t="s">
        <v>210</v>
      </c>
      <c r="DZ5" s="5" t="s">
        <v>221</v>
      </c>
      <c r="EA5" s="5" t="s">
        <v>258</v>
      </c>
      <c r="EB5" s="5" t="s">
        <v>210</v>
      </c>
      <c r="EC5" s="5" t="s">
        <v>204</v>
      </c>
      <c r="ED5" s="5" t="s">
        <v>204</v>
      </c>
      <c r="EE5" s="5" t="s">
        <v>219</v>
      </c>
      <c r="EF5" s="5" t="s">
        <v>204</v>
      </c>
      <c r="EG5" s="5" t="s">
        <v>210</v>
      </c>
      <c r="EH5" s="5" t="s">
        <v>204</v>
      </c>
      <c r="EI5" s="5" t="s">
        <v>210</v>
      </c>
      <c r="EJ5" s="5" t="s">
        <v>219</v>
      </c>
      <c r="EK5" s="5" t="s">
        <v>204</v>
      </c>
      <c r="EL5" s="5" t="s">
        <v>200</v>
      </c>
      <c r="EM5" s="5" t="s">
        <v>259</v>
      </c>
      <c r="EN5" s="5" t="s">
        <v>204</v>
      </c>
      <c r="EO5" s="5" t="s">
        <v>219</v>
      </c>
      <c r="EP5" s="5" t="s">
        <v>260</v>
      </c>
      <c r="EQ5" s="5" t="s">
        <v>210</v>
      </c>
      <c r="ER5" s="5" t="s">
        <v>204</v>
      </c>
      <c r="ES5" s="79" t="s">
        <v>261</v>
      </c>
      <c r="ET5" s="20" t="s">
        <v>261</v>
      </c>
      <c r="EU5" s="5" t="s">
        <v>204</v>
      </c>
      <c r="EV5" s="80" t="s">
        <v>204</v>
      </c>
      <c r="EW5" s="5" t="s">
        <v>204</v>
      </c>
      <c r="EX5" s="5" t="s">
        <v>204</v>
      </c>
      <c r="EY5" s="5" t="s">
        <v>262</v>
      </c>
      <c r="EZ5" s="5" t="s">
        <v>228</v>
      </c>
      <c r="FA5" s="5" t="s">
        <v>210</v>
      </c>
      <c r="FB5" s="5" t="s">
        <v>261</v>
      </c>
      <c r="FC5" s="5" t="s">
        <v>210</v>
      </c>
      <c r="FD5" s="5" t="s">
        <v>263</v>
      </c>
      <c r="FE5" s="5">
        <f>AMSTAR!BG5</f>
        <v>13</v>
      </c>
      <c r="FF5" s="5">
        <f>AMSTAR!BF5</f>
        <v>2</v>
      </c>
      <c r="FG5" s="34">
        <f t="shared" ref="FG5:FG60" si="1">SUM(FF5/FE5)</f>
        <v>0.15384615384615385</v>
      </c>
    </row>
    <row r="6" spans="1:163">
      <c r="A6" s="5"/>
      <c r="B6" s="12">
        <v>8407</v>
      </c>
      <c r="C6" s="14" t="s">
        <v>264</v>
      </c>
      <c r="D6" s="14">
        <v>2018</v>
      </c>
      <c r="E6" s="14" t="s">
        <v>265</v>
      </c>
      <c r="F6" s="14" t="s">
        <v>266</v>
      </c>
      <c r="G6" s="5" t="s">
        <v>267</v>
      </c>
      <c r="H6" s="5" t="s">
        <v>204</v>
      </c>
      <c r="I6" s="5">
        <v>4</v>
      </c>
      <c r="J6" s="5" t="s">
        <v>268</v>
      </c>
      <c r="K6" s="5" t="s">
        <v>200</v>
      </c>
      <c r="L6" s="5" t="s">
        <v>236</v>
      </c>
      <c r="M6" s="5" t="s">
        <v>209</v>
      </c>
      <c r="N6" s="5">
        <v>2000</v>
      </c>
      <c r="O6" s="82">
        <v>2015</v>
      </c>
      <c r="P6" s="5" t="s">
        <v>200</v>
      </c>
      <c r="Q6" s="5" t="s">
        <v>269</v>
      </c>
      <c r="R6" s="5" t="s">
        <v>270</v>
      </c>
      <c r="S6" s="5" t="s">
        <v>271</v>
      </c>
      <c r="T6" s="5" t="s">
        <v>241</v>
      </c>
      <c r="U6" s="5" t="s">
        <v>272</v>
      </c>
      <c r="V6" s="5" t="s">
        <v>200</v>
      </c>
      <c r="W6" s="5" t="s">
        <v>200</v>
      </c>
      <c r="X6" s="5">
        <v>13</v>
      </c>
      <c r="Y6" s="5">
        <v>17</v>
      </c>
      <c r="Z6" s="5">
        <v>13</v>
      </c>
      <c r="AA6" s="5" t="s">
        <v>273</v>
      </c>
      <c r="AB6" s="5">
        <v>188</v>
      </c>
      <c r="AC6" s="5" t="s">
        <v>209</v>
      </c>
      <c r="AD6" s="5" t="s">
        <v>209</v>
      </c>
      <c r="AE6" s="5" t="s">
        <v>209</v>
      </c>
      <c r="AF6" s="5" t="s">
        <v>209</v>
      </c>
      <c r="AG6" s="5" t="s">
        <v>274</v>
      </c>
      <c r="AH6" s="5" t="s">
        <v>204</v>
      </c>
      <c r="AI6" s="5">
        <f t="shared" si="0"/>
        <v>1</v>
      </c>
      <c r="AJ6" s="5" t="s">
        <v>210</v>
      </c>
      <c r="AK6" s="5" t="s">
        <v>204</v>
      </c>
      <c r="AL6" s="5" t="s">
        <v>200</v>
      </c>
      <c r="AM6" s="5" t="s">
        <v>275</v>
      </c>
      <c r="AN6" s="5" t="s">
        <v>210</v>
      </c>
      <c r="AO6" s="5" t="s">
        <v>204</v>
      </c>
      <c r="AP6" s="5" t="s">
        <v>209</v>
      </c>
      <c r="AQ6" s="5" t="s">
        <v>209</v>
      </c>
      <c r="AR6" s="5" t="s">
        <v>209</v>
      </c>
      <c r="AS6" s="5" t="s">
        <v>209</v>
      </c>
      <c r="AT6" s="5" t="s">
        <v>209</v>
      </c>
      <c r="AU6" s="5">
        <v>5</v>
      </c>
      <c r="AV6" s="5">
        <v>4</v>
      </c>
      <c r="AW6" s="5" t="s">
        <v>246</v>
      </c>
      <c r="AX6" s="5">
        <v>1</v>
      </c>
      <c r="AY6" s="5" t="s">
        <v>276</v>
      </c>
      <c r="AZ6" s="5">
        <v>0</v>
      </c>
      <c r="BA6" s="5" t="s">
        <v>204</v>
      </c>
      <c r="BB6" s="5">
        <v>3</v>
      </c>
      <c r="BC6" s="5" t="s">
        <v>247</v>
      </c>
      <c r="BD6" s="5">
        <v>0</v>
      </c>
      <c r="BE6" s="5" t="s">
        <v>204</v>
      </c>
      <c r="BF6" s="5">
        <v>0</v>
      </c>
      <c r="BG6" s="5" t="s">
        <v>204</v>
      </c>
      <c r="BH6" s="5">
        <v>0</v>
      </c>
      <c r="BI6" s="5" t="s">
        <v>204</v>
      </c>
      <c r="BJ6" s="5">
        <v>0</v>
      </c>
      <c r="BK6" s="5" t="s">
        <v>204</v>
      </c>
      <c r="BL6" s="5" t="s">
        <v>214</v>
      </c>
      <c r="BM6" s="5" t="s">
        <v>277</v>
      </c>
      <c r="BN6" s="5" t="s">
        <v>210</v>
      </c>
      <c r="BO6" s="5" t="s">
        <v>200</v>
      </c>
      <c r="BP6" s="5" t="s">
        <v>200</v>
      </c>
      <c r="BQ6" s="5" t="s">
        <v>200</v>
      </c>
      <c r="BR6" s="5" t="s">
        <v>210</v>
      </c>
      <c r="BS6" s="5" t="s">
        <v>210</v>
      </c>
      <c r="BT6" s="5" t="s">
        <v>210</v>
      </c>
      <c r="BU6" s="5" t="s">
        <v>204</v>
      </c>
      <c r="BV6" s="5">
        <f>COUNTIF(BN6:BT6, "yes")</f>
        <v>3</v>
      </c>
      <c r="BW6" s="5" t="s">
        <v>203</v>
      </c>
      <c r="BX6" s="5" t="s">
        <v>203</v>
      </c>
      <c r="BY6" s="5" t="s">
        <v>203</v>
      </c>
      <c r="BZ6" s="5" t="s">
        <v>204</v>
      </c>
      <c r="CA6" s="5">
        <f>COUNTIF(BW6:BY6, "yes")</f>
        <v>0</v>
      </c>
      <c r="CB6" s="5" t="s">
        <v>200</v>
      </c>
      <c r="CC6" s="5" t="s">
        <v>200</v>
      </c>
      <c r="CD6" s="5" t="s">
        <v>200</v>
      </c>
      <c r="CE6" s="5" t="s">
        <v>200</v>
      </c>
      <c r="CF6" s="5" t="s">
        <v>210</v>
      </c>
      <c r="CG6" s="5" t="s">
        <v>200</v>
      </c>
      <c r="CH6" s="5" t="s">
        <v>210</v>
      </c>
      <c r="CI6" s="5" t="s">
        <v>203</v>
      </c>
      <c r="CJ6" s="5" t="s">
        <v>204</v>
      </c>
      <c r="CK6" s="5">
        <f>COUNTIF(CB6:CI6, "yes")</f>
        <v>5</v>
      </c>
      <c r="CL6" s="5" t="s">
        <v>216</v>
      </c>
      <c r="CM6" s="5">
        <v>0</v>
      </c>
      <c r="CN6" s="5" t="s">
        <v>251</v>
      </c>
      <c r="CO6" s="5">
        <v>0</v>
      </c>
      <c r="CP6" s="5" t="s">
        <v>251</v>
      </c>
      <c r="CQ6" s="5">
        <v>0</v>
      </c>
      <c r="CR6" s="5" t="s">
        <v>217</v>
      </c>
      <c r="CS6" s="5">
        <v>0</v>
      </c>
      <c r="CT6" s="5" t="s">
        <v>217</v>
      </c>
      <c r="CU6" s="5">
        <v>1</v>
      </c>
      <c r="CV6" s="5" t="s">
        <v>251</v>
      </c>
      <c r="CW6" s="5">
        <v>0</v>
      </c>
      <c r="CX6" s="5" t="s">
        <v>217</v>
      </c>
      <c r="CY6" s="5">
        <v>8</v>
      </c>
      <c r="CZ6" s="5" t="s">
        <v>217</v>
      </c>
      <c r="DA6" s="5">
        <v>4</v>
      </c>
      <c r="DB6" s="5" t="s">
        <v>216</v>
      </c>
      <c r="DC6" s="5">
        <v>0</v>
      </c>
      <c r="DD6" s="5" t="s">
        <v>252</v>
      </c>
      <c r="DE6" s="5" t="s">
        <v>204</v>
      </c>
      <c r="DF6" s="5" t="s">
        <v>278</v>
      </c>
      <c r="DG6" s="5" t="s">
        <v>210</v>
      </c>
      <c r="DH6" s="5" t="s">
        <v>200</v>
      </c>
      <c r="DI6" s="5" t="s">
        <v>210</v>
      </c>
      <c r="DJ6" s="5" t="s">
        <v>210</v>
      </c>
      <c r="DK6" s="5" t="s">
        <v>210</v>
      </c>
      <c r="DL6" s="5" t="s">
        <v>210</v>
      </c>
      <c r="DM6" s="5" t="s">
        <v>200</v>
      </c>
      <c r="DN6" s="5" t="s">
        <v>279</v>
      </c>
      <c r="DO6" s="5" t="s">
        <v>204</v>
      </c>
      <c r="DP6" s="5" t="s">
        <v>221</v>
      </c>
      <c r="DQ6" s="5" t="s">
        <v>280</v>
      </c>
      <c r="DR6" s="5" t="s">
        <v>200</v>
      </c>
      <c r="DS6" s="5" t="s">
        <v>281</v>
      </c>
      <c r="DT6" s="5" t="s">
        <v>210</v>
      </c>
      <c r="DU6" s="83"/>
      <c r="DV6" s="83"/>
      <c r="DW6" s="5" t="s">
        <v>208</v>
      </c>
      <c r="DX6" s="5" t="s">
        <v>282</v>
      </c>
      <c r="DY6" s="5" t="s">
        <v>210</v>
      </c>
      <c r="DZ6" s="5" t="s">
        <v>221</v>
      </c>
      <c r="EA6" s="5" t="s">
        <v>283</v>
      </c>
      <c r="EB6" s="5" t="s">
        <v>200</v>
      </c>
      <c r="EC6" s="5" t="s">
        <v>284</v>
      </c>
      <c r="ED6" s="5" t="s">
        <v>204</v>
      </c>
      <c r="EE6" s="5" t="s">
        <v>285</v>
      </c>
      <c r="EF6" s="5" t="s">
        <v>286</v>
      </c>
      <c r="EG6" s="5" t="s">
        <v>200</v>
      </c>
      <c r="EH6" s="5" t="s">
        <v>287</v>
      </c>
      <c r="EI6" s="5" t="s">
        <v>204</v>
      </c>
      <c r="EJ6" s="5" t="s">
        <v>221</v>
      </c>
      <c r="EK6" s="5" t="s">
        <v>288</v>
      </c>
      <c r="EL6" s="5" t="s">
        <v>200</v>
      </c>
      <c r="EM6" s="5" t="s">
        <v>289</v>
      </c>
      <c r="EN6" s="5" t="s">
        <v>204</v>
      </c>
      <c r="EO6" s="5" t="s">
        <v>221</v>
      </c>
      <c r="EP6" s="5" t="s">
        <v>290</v>
      </c>
      <c r="EQ6" s="5" t="s">
        <v>200</v>
      </c>
      <c r="ER6" s="5" t="s">
        <v>291</v>
      </c>
      <c r="ES6" s="79">
        <v>5</v>
      </c>
      <c r="ET6" s="20" t="s">
        <v>292</v>
      </c>
      <c r="EU6" s="5" t="s">
        <v>293</v>
      </c>
      <c r="EV6" s="80" t="s">
        <v>204</v>
      </c>
      <c r="EW6" s="5" t="s">
        <v>204</v>
      </c>
      <c r="EX6" s="5" t="s">
        <v>204</v>
      </c>
      <c r="EY6" s="5" t="s">
        <v>262</v>
      </c>
      <c r="EZ6" s="5" t="s">
        <v>228</v>
      </c>
      <c r="FA6" s="5" t="s">
        <v>200</v>
      </c>
      <c r="FB6" s="5" t="s">
        <v>294</v>
      </c>
      <c r="FC6" s="5" t="s">
        <v>210</v>
      </c>
      <c r="FD6" s="5" t="s">
        <v>263</v>
      </c>
      <c r="FE6" s="5">
        <f>AMSTAR!BG6</f>
        <v>13</v>
      </c>
      <c r="FF6" s="5">
        <f>AMSTAR!BF6</f>
        <v>6</v>
      </c>
      <c r="FG6" s="34">
        <f t="shared" si="1"/>
        <v>0.46153846153846156</v>
      </c>
    </row>
    <row r="7" spans="1:163">
      <c r="A7" s="5"/>
      <c r="B7" s="13" t="s">
        <v>193</v>
      </c>
      <c r="C7" s="14" t="s">
        <v>264</v>
      </c>
      <c r="D7" s="14">
        <v>2012</v>
      </c>
      <c r="E7" s="14" t="s">
        <v>295</v>
      </c>
      <c r="F7" s="14" t="s">
        <v>196</v>
      </c>
      <c r="G7" s="5" t="s">
        <v>296</v>
      </c>
      <c r="H7" s="5" t="s">
        <v>204</v>
      </c>
      <c r="I7" s="5">
        <v>10</v>
      </c>
      <c r="J7" s="5" t="s">
        <v>297</v>
      </c>
      <c r="K7" s="5" t="s">
        <v>208</v>
      </c>
      <c r="L7" s="5" t="s">
        <v>298</v>
      </c>
      <c r="M7" s="5" t="s">
        <v>299</v>
      </c>
      <c r="N7" s="5" t="s">
        <v>202</v>
      </c>
      <c r="O7" s="5">
        <v>2010</v>
      </c>
      <c r="P7" s="5" t="s">
        <v>200</v>
      </c>
      <c r="Q7" s="5" t="s">
        <v>300</v>
      </c>
      <c r="R7" t="s">
        <v>301</v>
      </c>
      <c r="S7" s="5" t="s">
        <v>302</v>
      </c>
      <c r="T7" s="5" t="s">
        <v>241</v>
      </c>
      <c r="U7" s="32" t="s">
        <v>303</v>
      </c>
      <c r="V7" s="5" t="s">
        <v>210</v>
      </c>
      <c r="W7" s="5" t="s">
        <v>210</v>
      </c>
      <c r="X7" s="5">
        <v>14</v>
      </c>
      <c r="Y7" s="5">
        <v>14</v>
      </c>
      <c r="Z7" s="5">
        <v>8</v>
      </c>
      <c r="AA7" s="5" t="s">
        <v>204</v>
      </c>
      <c r="AB7" s="5">
        <v>69</v>
      </c>
      <c r="AC7" s="5">
        <v>15</v>
      </c>
      <c r="AD7" s="5">
        <v>11</v>
      </c>
      <c r="AE7" s="5">
        <v>13</v>
      </c>
      <c r="AF7" s="5">
        <v>40</v>
      </c>
      <c r="AG7" s="5" t="s">
        <v>209</v>
      </c>
      <c r="AH7" s="5" t="s">
        <v>304</v>
      </c>
      <c r="AI7" s="5">
        <f t="shared" si="0"/>
        <v>1</v>
      </c>
      <c r="AJ7" s="5" t="s">
        <v>203</v>
      </c>
      <c r="AK7" s="5" t="s">
        <v>204</v>
      </c>
      <c r="AL7" s="5" t="s">
        <v>208</v>
      </c>
      <c r="AM7" s="5" t="s">
        <v>305</v>
      </c>
      <c r="AN7" s="5" t="s">
        <v>203</v>
      </c>
      <c r="AO7" s="5" t="s">
        <v>204</v>
      </c>
      <c r="AP7" s="5" t="s">
        <v>209</v>
      </c>
      <c r="AQ7" s="5" t="s">
        <v>209</v>
      </c>
      <c r="AR7" s="5" t="s">
        <v>209</v>
      </c>
      <c r="AS7" s="5" t="s">
        <v>209</v>
      </c>
      <c r="AT7" s="5" t="s">
        <v>209</v>
      </c>
      <c r="AU7" s="5" t="s">
        <v>209</v>
      </c>
      <c r="AV7" s="5" t="s">
        <v>209</v>
      </c>
      <c r="AW7" s="5" t="s">
        <v>204</v>
      </c>
      <c r="AX7" s="5" t="s">
        <v>209</v>
      </c>
      <c r="AY7" s="5" t="s">
        <v>204</v>
      </c>
      <c r="AZ7" s="5" t="s">
        <v>209</v>
      </c>
      <c r="BA7" s="5" t="s">
        <v>204</v>
      </c>
      <c r="BB7" s="5" t="s">
        <v>209</v>
      </c>
      <c r="BC7" s="5" t="s">
        <v>204</v>
      </c>
      <c r="BD7" s="5" t="s">
        <v>209</v>
      </c>
      <c r="BE7" s="5" t="s">
        <v>204</v>
      </c>
      <c r="BF7" s="5" t="s">
        <v>209</v>
      </c>
      <c r="BG7" s="5" t="s">
        <v>204</v>
      </c>
      <c r="BH7" s="5" t="s">
        <v>209</v>
      </c>
      <c r="BI7" s="5" t="s">
        <v>204</v>
      </c>
      <c r="BJ7" s="5" t="s">
        <v>209</v>
      </c>
      <c r="BK7" s="5" t="s">
        <v>204</v>
      </c>
      <c r="BL7" s="5" t="s">
        <v>214</v>
      </c>
      <c r="BM7" s="5" t="s">
        <v>306</v>
      </c>
      <c r="BN7" s="5" t="s">
        <v>210</v>
      </c>
      <c r="BO7" s="5" t="s">
        <v>203</v>
      </c>
      <c r="BP7" s="5" t="s">
        <v>210</v>
      </c>
      <c r="BQ7" s="5" t="s">
        <v>203</v>
      </c>
      <c r="BR7" s="5" t="s">
        <v>210</v>
      </c>
      <c r="BS7" s="5" t="s">
        <v>210</v>
      </c>
      <c r="BT7" s="5" t="s">
        <v>210</v>
      </c>
      <c r="BU7" s="5" t="s">
        <v>204</v>
      </c>
      <c r="BV7" s="5">
        <f>COUNTIF(BN7:BT7, "yes")</f>
        <v>0</v>
      </c>
      <c r="BW7" s="5" t="s">
        <v>203</v>
      </c>
      <c r="BX7" s="5" t="s">
        <v>203</v>
      </c>
      <c r="BY7" s="5" t="s">
        <v>203</v>
      </c>
      <c r="BZ7" s="5" t="s">
        <v>204</v>
      </c>
      <c r="CA7" s="5">
        <f>COUNTIF(BW7:BY7, "yes")</f>
        <v>0</v>
      </c>
      <c r="CB7" s="5" t="s">
        <v>200</v>
      </c>
      <c r="CC7" s="5" t="s">
        <v>200</v>
      </c>
      <c r="CD7" s="5" t="s">
        <v>200</v>
      </c>
      <c r="CE7" s="5" t="s">
        <v>203</v>
      </c>
      <c r="CF7" s="5" t="s">
        <v>203</v>
      </c>
      <c r="CG7" s="5" t="s">
        <v>210</v>
      </c>
      <c r="CH7" s="5" t="s">
        <v>203</v>
      </c>
      <c r="CI7" s="5" t="s">
        <v>203</v>
      </c>
      <c r="CJ7" s="5" t="s">
        <v>204</v>
      </c>
      <c r="CK7" s="5">
        <f>COUNTIF(CB7:CI7, "yes")</f>
        <v>3</v>
      </c>
      <c r="CL7" s="5" t="s">
        <v>216</v>
      </c>
      <c r="CM7" s="5">
        <v>0</v>
      </c>
      <c r="CN7" s="5" t="s">
        <v>251</v>
      </c>
      <c r="CO7" s="5">
        <v>0</v>
      </c>
      <c r="CP7" s="5" t="s">
        <v>251</v>
      </c>
      <c r="CQ7" s="5">
        <v>0</v>
      </c>
      <c r="CR7" s="5" t="s">
        <v>217</v>
      </c>
      <c r="CS7" s="5">
        <v>2</v>
      </c>
      <c r="CT7" s="5" t="s">
        <v>217</v>
      </c>
      <c r="CU7" s="5">
        <v>2</v>
      </c>
      <c r="CV7" s="5" t="s">
        <v>217</v>
      </c>
      <c r="CW7" s="5">
        <v>4</v>
      </c>
      <c r="CX7" s="5" t="s">
        <v>251</v>
      </c>
      <c r="CY7" s="5">
        <v>0</v>
      </c>
      <c r="CZ7" s="5" t="s">
        <v>251</v>
      </c>
      <c r="DA7" s="5">
        <v>0</v>
      </c>
      <c r="DB7" s="5" t="s">
        <v>251</v>
      </c>
      <c r="DC7" s="5">
        <v>0</v>
      </c>
      <c r="DD7" s="5" t="s">
        <v>252</v>
      </c>
      <c r="DE7" s="5" t="s">
        <v>204</v>
      </c>
      <c r="DF7" s="5" t="s">
        <v>307</v>
      </c>
      <c r="DG7" s="5" t="s">
        <v>203</v>
      </c>
      <c r="DH7" s="5" t="s">
        <v>208</v>
      </c>
      <c r="DI7" s="5" t="s">
        <v>203</v>
      </c>
      <c r="DJ7" s="5" t="s">
        <v>203</v>
      </c>
      <c r="DK7" s="5" t="s">
        <v>203</v>
      </c>
      <c r="DL7" s="5" t="s">
        <v>203</v>
      </c>
      <c r="DM7" s="5" t="s">
        <v>203</v>
      </c>
      <c r="DN7" s="5" t="s">
        <v>204</v>
      </c>
      <c r="DO7" s="5" t="s">
        <v>204</v>
      </c>
      <c r="DP7" s="5" t="s">
        <v>219</v>
      </c>
      <c r="DQ7" s="5" t="s">
        <v>204</v>
      </c>
      <c r="DR7" s="5" t="s">
        <v>203</v>
      </c>
      <c r="DS7" s="5" t="s">
        <v>204</v>
      </c>
      <c r="DT7" s="5" t="s">
        <v>204</v>
      </c>
      <c r="DU7" s="5" t="s">
        <v>219</v>
      </c>
      <c r="DV7" s="5" t="s">
        <v>204</v>
      </c>
      <c r="DW7" s="5" t="s">
        <v>208</v>
      </c>
      <c r="DX7" s="5" t="s">
        <v>308</v>
      </c>
      <c r="DY7" s="5" t="s">
        <v>210</v>
      </c>
      <c r="DZ7" s="5" t="s">
        <v>221</v>
      </c>
      <c r="EA7" s="5" t="s">
        <v>309</v>
      </c>
      <c r="EB7" s="5" t="s">
        <v>208</v>
      </c>
      <c r="EC7" s="5" t="s">
        <v>310</v>
      </c>
      <c r="ED7" s="5" t="s">
        <v>210</v>
      </c>
      <c r="EE7" s="5" t="s">
        <v>311</v>
      </c>
      <c r="EF7" s="5" t="s">
        <v>204</v>
      </c>
      <c r="EG7" s="5" t="s">
        <v>208</v>
      </c>
      <c r="EH7" s="5" t="s">
        <v>312</v>
      </c>
      <c r="EI7" s="5" t="s">
        <v>210</v>
      </c>
      <c r="EJ7" s="5" t="s">
        <v>221</v>
      </c>
      <c r="EK7" s="5" t="s">
        <v>313</v>
      </c>
      <c r="EL7" s="5" t="s">
        <v>203</v>
      </c>
      <c r="EM7" s="5" t="s">
        <v>204</v>
      </c>
      <c r="EN7" s="5" t="s">
        <v>210</v>
      </c>
      <c r="EO7" s="5" t="s">
        <v>219</v>
      </c>
      <c r="EP7" s="5" t="s">
        <v>204</v>
      </c>
      <c r="EQ7" s="5" t="s">
        <v>203</v>
      </c>
      <c r="ER7" s="5" t="s">
        <v>204</v>
      </c>
      <c r="ES7" s="79" t="s">
        <v>261</v>
      </c>
      <c r="ET7" s="20" t="s">
        <v>261</v>
      </c>
      <c r="EU7" s="5" t="s">
        <v>204</v>
      </c>
      <c r="EV7" s="80" t="s">
        <v>204</v>
      </c>
      <c r="EW7" s="5" t="s">
        <v>204</v>
      </c>
      <c r="EX7" s="5" t="s">
        <v>204</v>
      </c>
      <c r="EY7" s="5" t="s">
        <v>227</v>
      </c>
      <c r="EZ7" s="5" t="s">
        <v>228</v>
      </c>
      <c r="FA7" s="5" t="s">
        <v>200</v>
      </c>
      <c r="FB7" s="5" t="s">
        <v>314</v>
      </c>
      <c r="FC7" s="5" t="s">
        <v>208</v>
      </c>
      <c r="FD7" s="5" t="s">
        <v>315</v>
      </c>
      <c r="FE7" s="5">
        <f>AMSTAR!BG7</f>
        <v>13</v>
      </c>
      <c r="FF7" s="5">
        <f>AMSTAR!BF7</f>
        <v>3.5</v>
      </c>
      <c r="FG7" s="34">
        <f t="shared" si="1"/>
        <v>0.26923076923076922</v>
      </c>
    </row>
    <row r="8" spans="1:163">
      <c r="A8" s="5"/>
      <c r="B8" s="12">
        <v>21409</v>
      </c>
      <c r="C8" s="14" t="s">
        <v>316</v>
      </c>
      <c r="D8" s="14">
        <v>2020</v>
      </c>
      <c r="E8" s="14" t="s">
        <v>317</v>
      </c>
      <c r="F8" s="14" t="s">
        <v>233</v>
      </c>
      <c r="G8" s="5" t="s">
        <v>318</v>
      </c>
      <c r="H8" s="5" t="s">
        <v>204</v>
      </c>
      <c r="I8" s="5">
        <v>7</v>
      </c>
      <c r="J8" s="5" t="s">
        <v>319</v>
      </c>
      <c r="K8" s="5" t="s">
        <v>200</v>
      </c>
      <c r="L8" s="5" t="s">
        <v>201</v>
      </c>
      <c r="M8" s="5" t="s">
        <v>209</v>
      </c>
      <c r="N8" s="5" t="s">
        <v>209</v>
      </c>
      <c r="O8" s="82" t="s">
        <v>209</v>
      </c>
      <c r="P8" s="5" t="s">
        <v>200</v>
      </c>
      <c r="Q8" s="5" t="s">
        <v>320</v>
      </c>
      <c r="R8" s="5" t="s">
        <v>321</v>
      </c>
      <c r="S8" s="5" t="s">
        <v>322</v>
      </c>
      <c r="T8" s="5" t="s">
        <v>241</v>
      </c>
      <c r="U8" s="5" t="s">
        <v>323</v>
      </c>
      <c r="V8" s="5" t="s">
        <v>200</v>
      </c>
      <c r="W8" s="5" t="s">
        <v>200</v>
      </c>
      <c r="X8" s="5">
        <v>12</v>
      </c>
      <c r="Y8" s="5">
        <v>13</v>
      </c>
      <c r="Z8" s="5">
        <v>8</v>
      </c>
      <c r="AA8" s="5" t="s">
        <v>324</v>
      </c>
      <c r="AB8" s="5">
        <v>419</v>
      </c>
      <c r="AC8" s="5" t="s">
        <v>209</v>
      </c>
      <c r="AD8" s="5" t="s">
        <v>209</v>
      </c>
      <c r="AE8" s="5">
        <v>15</v>
      </c>
      <c r="AF8" s="5">
        <v>65</v>
      </c>
      <c r="AG8" s="5" t="s">
        <v>325</v>
      </c>
      <c r="AH8" s="5" t="s">
        <v>326</v>
      </c>
      <c r="AI8" s="5">
        <f t="shared" si="0"/>
        <v>1</v>
      </c>
      <c r="AJ8" s="5" t="s">
        <v>210</v>
      </c>
      <c r="AK8" s="5" t="s">
        <v>204</v>
      </c>
      <c r="AL8" s="5" t="s">
        <v>208</v>
      </c>
      <c r="AM8" s="5" t="s">
        <v>327</v>
      </c>
      <c r="AN8" s="5" t="s">
        <v>203</v>
      </c>
      <c r="AO8" s="5" t="s">
        <v>204</v>
      </c>
      <c r="AP8" s="5" t="s">
        <v>209</v>
      </c>
      <c r="AQ8" s="5" t="s">
        <v>209</v>
      </c>
      <c r="AR8" s="5" t="s">
        <v>209</v>
      </c>
      <c r="AS8" s="5" t="s">
        <v>209</v>
      </c>
      <c r="AT8" s="5" t="s">
        <v>209</v>
      </c>
      <c r="AU8" s="5" t="s">
        <v>209</v>
      </c>
      <c r="AV8" s="5" t="s">
        <v>209</v>
      </c>
      <c r="AW8" s="5" t="s">
        <v>204</v>
      </c>
      <c r="AX8" s="5" t="s">
        <v>209</v>
      </c>
      <c r="AY8" s="5" t="s">
        <v>204</v>
      </c>
      <c r="AZ8" s="5" t="s">
        <v>209</v>
      </c>
      <c r="BA8" s="5" t="s">
        <v>204</v>
      </c>
      <c r="BB8" s="5" t="s">
        <v>209</v>
      </c>
      <c r="BC8" s="5" t="s">
        <v>204</v>
      </c>
      <c r="BD8" s="5" t="s">
        <v>209</v>
      </c>
      <c r="BE8" s="5" t="s">
        <v>204</v>
      </c>
      <c r="BF8" s="5" t="s">
        <v>209</v>
      </c>
      <c r="BG8" s="5" t="s">
        <v>204</v>
      </c>
      <c r="BH8" s="5" t="s">
        <v>209</v>
      </c>
      <c r="BI8" s="5" t="s">
        <v>204</v>
      </c>
      <c r="BJ8" s="5" t="s">
        <v>209</v>
      </c>
      <c r="BK8" s="5" t="s">
        <v>204</v>
      </c>
      <c r="BL8" s="5" t="s">
        <v>328</v>
      </c>
      <c r="BM8" s="5" t="s">
        <v>329</v>
      </c>
      <c r="BN8" s="5" t="s">
        <v>210</v>
      </c>
      <c r="BO8" s="5" t="s">
        <v>208</v>
      </c>
      <c r="BP8" s="5" t="s">
        <v>203</v>
      </c>
      <c r="BQ8" s="5" t="s">
        <v>203</v>
      </c>
      <c r="BR8" s="5" t="s">
        <v>203</v>
      </c>
      <c r="BS8" s="5" t="s">
        <v>203</v>
      </c>
      <c r="BT8" s="5" t="s">
        <v>203</v>
      </c>
      <c r="BU8" s="5" t="s">
        <v>330</v>
      </c>
      <c r="BV8" s="5">
        <f>COUNTIF(BN8:BT8, "yes")</f>
        <v>1</v>
      </c>
      <c r="BW8" s="5" t="s">
        <v>203</v>
      </c>
      <c r="BX8" s="5" t="s">
        <v>203</v>
      </c>
      <c r="BY8" s="5" t="s">
        <v>203</v>
      </c>
      <c r="BZ8" s="5" t="s">
        <v>204</v>
      </c>
      <c r="CA8" s="5">
        <f>COUNTIF(BW8:BY8, "yes")</f>
        <v>0</v>
      </c>
      <c r="CB8" s="5" t="s">
        <v>203</v>
      </c>
      <c r="CC8" s="5" t="s">
        <v>208</v>
      </c>
      <c r="CD8" s="5" t="s">
        <v>200</v>
      </c>
      <c r="CE8" s="5" t="s">
        <v>203</v>
      </c>
      <c r="CF8" s="5" t="s">
        <v>203</v>
      </c>
      <c r="CG8" s="5" t="s">
        <v>203</v>
      </c>
      <c r="CH8" s="5" t="s">
        <v>203</v>
      </c>
      <c r="CI8" s="5" t="s">
        <v>203</v>
      </c>
      <c r="CJ8" s="5" t="s">
        <v>204</v>
      </c>
      <c r="CK8" s="5">
        <f>COUNTIF(CB8:CI8, "yes")</f>
        <v>2</v>
      </c>
      <c r="CL8" s="5" t="s">
        <v>216</v>
      </c>
      <c r="CM8" s="5">
        <v>0</v>
      </c>
      <c r="CN8" s="5" t="s">
        <v>217</v>
      </c>
      <c r="CO8" s="5">
        <v>5</v>
      </c>
      <c r="CP8" s="5" t="s">
        <v>251</v>
      </c>
      <c r="CQ8" s="5">
        <v>0</v>
      </c>
      <c r="CR8" s="5" t="s">
        <v>217</v>
      </c>
      <c r="CS8" s="5">
        <v>2</v>
      </c>
      <c r="CT8" s="5" t="s">
        <v>251</v>
      </c>
      <c r="CU8" s="5">
        <v>0</v>
      </c>
      <c r="CV8" s="5" t="s">
        <v>217</v>
      </c>
      <c r="CW8" s="5">
        <v>2</v>
      </c>
      <c r="CX8" s="5" t="s">
        <v>217</v>
      </c>
      <c r="CY8" s="5">
        <v>1</v>
      </c>
      <c r="CZ8" s="5" t="s">
        <v>216</v>
      </c>
      <c r="DA8" s="5">
        <v>0</v>
      </c>
      <c r="DB8" s="5" t="s">
        <v>216</v>
      </c>
      <c r="DC8" s="5">
        <v>0</v>
      </c>
      <c r="DD8" s="5" t="s">
        <v>216</v>
      </c>
      <c r="DE8" s="5">
        <v>0</v>
      </c>
      <c r="DF8" s="5" t="s">
        <v>204</v>
      </c>
      <c r="DG8" s="5" t="s">
        <v>203</v>
      </c>
      <c r="DH8" s="5" t="s">
        <v>208</v>
      </c>
      <c r="DI8" s="5" t="s">
        <v>210</v>
      </c>
      <c r="DJ8" s="5" t="s">
        <v>208</v>
      </c>
      <c r="DK8" s="5" t="s">
        <v>208</v>
      </c>
      <c r="DL8" s="5" t="s">
        <v>208</v>
      </c>
      <c r="DM8" s="5" t="s">
        <v>210</v>
      </c>
      <c r="DN8" s="5" t="s">
        <v>204</v>
      </c>
      <c r="DO8" s="5" t="s">
        <v>204</v>
      </c>
      <c r="DP8" s="5" t="s">
        <v>219</v>
      </c>
      <c r="DQ8" s="5" t="s">
        <v>204</v>
      </c>
      <c r="DR8" s="5" t="s">
        <v>203</v>
      </c>
      <c r="DS8" s="5" t="s">
        <v>204</v>
      </c>
      <c r="DT8" s="5" t="s">
        <v>204</v>
      </c>
      <c r="DU8" s="5" t="s">
        <v>219</v>
      </c>
      <c r="DV8" s="5" t="s">
        <v>204</v>
      </c>
      <c r="DW8" s="5" t="s">
        <v>208</v>
      </c>
      <c r="DX8" s="5" t="s">
        <v>331</v>
      </c>
      <c r="DY8" s="5" t="s">
        <v>219</v>
      </c>
      <c r="DZ8" s="5" t="s">
        <v>221</v>
      </c>
      <c r="EA8" s="5" t="s">
        <v>332</v>
      </c>
      <c r="EB8" s="5" t="s">
        <v>208</v>
      </c>
      <c r="EC8" s="5" t="s">
        <v>333</v>
      </c>
      <c r="ED8" s="5" t="s">
        <v>219</v>
      </c>
      <c r="EE8" s="5" t="s">
        <v>334</v>
      </c>
      <c r="EF8" s="5" t="s">
        <v>335</v>
      </c>
      <c r="EG8" s="5" t="s">
        <v>210</v>
      </c>
      <c r="EH8" s="5" t="s">
        <v>204</v>
      </c>
      <c r="EI8" s="5" t="s">
        <v>210</v>
      </c>
      <c r="EJ8" s="5" t="s">
        <v>219</v>
      </c>
      <c r="EK8" s="5" t="s">
        <v>204</v>
      </c>
      <c r="EL8" s="5" t="s">
        <v>210</v>
      </c>
      <c r="EM8" s="5" t="s">
        <v>204</v>
      </c>
      <c r="EN8" s="5" t="s">
        <v>210</v>
      </c>
      <c r="EO8" s="5" t="s">
        <v>219</v>
      </c>
      <c r="EP8" s="5" t="s">
        <v>204</v>
      </c>
      <c r="EQ8" s="5" t="s">
        <v>200</v>
      </c>
      <c r="ER8" s="5" t="s">
        <v>336</v>
      </c>
      <c r="ES8" s="79" t="s">
        <v>337</v>
      </c>
      <c r="ET8" s="20" t="s">
        <v>292</v>
      </c>
      <c r="EU8" s="5" t="s">
        <v>204</v>
      </c>
      <c r="EV8" s="80" t="s">
        <v>204</v>
      </c>
      <c r="EW8" s="80" t="s">
        <v>204</v>
      </c>
      <c r="EX8" s="80" t="s">
        <v>204</v>
      </c>
      <c r="EY8" s="5" t="s">
        <v>262</v>
      </c>
      <c r="EZ8" s="5" t="s">
        <v>228</v>
      </c>
      <c r="FA8" s="5" t="s">
        <v>200</v>
      </c>
      <c r="FB8" s="5" t="s">
        <v>338</v>
      </c>
      <c r="FC8" s="5" t="s">
        <v>200</v>
      </c>
      <c r="FD8" s="5" t="s">
        <v>315</v>
      </c>
      <c r="FE8" s="5">
        <f>AMSTAR!BG8</f>
        <v>13</v>
      </c>
      <c r="FF8" s="5">
        <f>AMSTAR!BF8</f>
        <v>8</v>
      </c>
      <c r="FG8" s="34">
        <f t="shared" si="1"/>
        <v>0.61538461538461542</v>
      </c>
    </row>
    <row r="9" spans="1:163">
      <c r="A9" s="5"/>
      <c r="B9" s="12">
        <v>8425</v>
      </c>
      <c r="C9" s="14" t="s">
        <v>339</v>
      </c>
      <c r="D9" s="14">
        <v>2018</v>
      </c>
      <c r="E9" s="14" t="s">
        <v>340</v>
      </c>
      <c r="F9" s="14" t="s">
        <v>341</v>
      </c>
      <c r="G9" s="5" t="s">
        <v>342</v>
      </c>
      <c r="H9" s="5" t="s">
        <v>204</v>
      </c>
      <c r="I9" s="5">
        <v>6</v>
      </c>
      <c r="J9" s="5" t="s">
        <v>343</v>
      </c>
      <c r="K9" s="5" t="s">
        <v>210</v>
      </c>
      <c r="L9" s="5" t="s">
        <v>298</v>
      </c>
      <c r="M9" s="5" t="s">
        <v>344</v>
      </c>
      <c r="N9" s="5" t="s">
        <v>202</v>
      </c>
      <c r="O9" s="82">
        <v>2017</v>
      </c>
      <c r="P9" s="5" t="s">
        <v>210</v>
      </c>
      <c r="Q9" s="5" t="s">
        <v>204</v>
      </c>
      <c r="R9" s="5" t="s">
        <v>345</v>
      </c>
      <c r="S9" s="5" t="s">
        <v>346</v>
      </c>
      <c r="T9" s="5" t="s">
        <v>207</v>
      </c>
      <c r="U9" s="5" t="s">
        <v>204</v>
      </c>
      <c r="V9" s="5" t="s">
        <v>200</v>
      </c>
      <c r="W9" s="5" t="s">
        <v>200</v>
      </c>
      <c r="X9" s="5">
        <v>12</v>
      </c>
      <c r="Y9" s="5">
        <v>12</v>
      </c>
      <c r="Z9" s="5">
        <v>12</v>
      </c>
      <c r="AA9" s="5" t="s">
        <v>204</v>
      </c>
      <c r="AB9" s="5">
        <v>196</v>
      </c>
      <c r="AC9" s="5" t="s">
        <v>209</v>
      </c>
      <c r="AD9" s="5" t="s">
        <v>209</v>
      </c>
      <c r="AE9" s="5" t="s">
        <v>209</v>
      </c>
      <c r="AF9" s="5" t="s">
        <v>209</v>
      </c>
      <c r="AG9" s="5" t="s">
        <v>209</v>
      </c>
      <c r="AH9" s="5" t="s">
        <v>204</v>
      </c>
      <c r="AI9" s="5">
        <f t="shared" si="0"/>
        <v>2</v>
      </c>
      <c r="AJ9" s="5" t="s">
        <v>210</v>
      </c>
      <c r="AK9" s="5" t="s">
        <v>204</v>
      </c>
      <c r="AL9" s="5" t="s">
        <v>200</v>
      </c>
      <c r="AM9" s="5" t="s">
        <v>347</v>
      </c>
      <c r="AN9" s="5" t="s">
        <v>208</v>
      </c>
      <c r="AO9" s="5" t="s">
        <v>348</v>
      </c>
      <c r="AP9" s="5" t="s">
        <v>200</v>
      </c>
      <c r="AQ9" s="5" t="s">
        <v>209</v>
      </c>
      <c r="AR9" s="5" t="s">
        <v>209</v>
      </c>
      <c r="AS9" s="5" t="s">
        <v>200</v>
      </c>
      <c r="AT9" s="5" t="s">
        <v>200</v>
      </c>
      <c r="AU9" s="5">
        <v>1</v>
      </c>
      <c r="AV9" s="5">
        <v>8</v>
      </c>
      <c r="AW9" s="32" t="s">
        <v>349</v>
      </c>
      <c r="AX9" s="5">
        <v>1</v>
      </c>
      <c r="AY9" s="5" t="s">
        <v>350</v>
      </c>
      <c r="AZ9" s="5">
        <v>2</v>
      </c>
      <c r="BA9" s="5" t="s">
        <v>351</v>
      </c>
      <c r="BB9" s="5">
        <v>0</v>
      </c>
      <c r="BC9" s="5" t="s">
        <v>204</v>
      </c>
      <c r="BD9" s="5">
        <v>0</v>
      </c>
      <c r="BE9" s="5" t="s">
        <v>204</v>
      </c>
      <c r="BF9" s="5">
        <v>0</v>
      </c>
      <c r="BG9" s="5" t="s">
        <v>204</v>
      </c>
      <c r="BH9" s="5">
        <v>0</v>
      </c>
      <c r="BI9" s="5" t="s">
        <v>204</v>
      </c>
      <c r="BJ9" s="5">
        <v>0</v>
      </c>
      <c r="BK9" s="5" t="s">
        <v>204</v>
      </c>
      <c r="BL9" s="5" t="s">
        <v>214</v>
      </c>
      <c r="BM9" s="5" t="s">
        <v>352</v>
      </c>
      <c r="BN9" s="5" t="s">
        <v>210</v>
      </c>
      <c r="BO9" s="5" t="s">
        <v>200</v>
      </c>
      <c r="BP9" s="5" t="s">
        <v>210</v>
      </c>
      <c r="BQ9" s="5" t="s">
        <v>210</v>
      </c>
      <c r="BR9" s="5" t="s">
        <v>210</v>
      </c>
      <c r="BS9" s="5" t="s">
        <v>210</v>
      </c>
      <c r="BT9" s="5" t="s">
        <v>210</v>
      </c>
      <c r="BU9" s="5" t="s">
        <v>204</v>
      </c>
      <c r="BV9" s="5">
        <f>COUNTIF(BN9:BT9, "yes")</f>
        <v>1</v>
      </c>
      <c r="BW9" s="5" t="s">
        <v>203</v>
      </c>
      <c r="BX9" s="5" t="s">
        <v>203</v>
      </c>
      <c r="BY9" s="5" t="s">
        <v>203</v>
      </c>
      <c r="BZ9" s="5" t="s">
        <v>204</v>
      </c>
      <c r="CA9" s="5">
        <f>COUNTIF(BW9:BY9, "yes")</f>
        <v>0</v>
      </c>
      <c r="CB9" s="5" t="s">
        <v>210</v>
      </c>
      <c r="CC9" s="5" t="s">
        <v>210</v>
      </c>
      <c r="CD9" s="5" t="s">
        <v>200</v>
      </c>
      <c r="CE9" s="5" t="s">
        <v>210</v>
      </c>
      <c r="CF9" s="5" t="s">
        <v>210</v>
      </c>
      <c r="CG9" s="5" t="s">
        <v>210</v>
      </c>
      <c r="CH9" s="5" t="s">
        <v>210</v>
      </c>
      <c r="CI9" s="5" t="s">
        <v>210</v>
      </c>
      <c r="CJ9" s="5" t="s">
        <v>204</v>
      </c>
      <c r="CK9" s="5">
        <f>COUNTIF(CB9:CI9, "yes")</f>
        <v>1</v>
      </c>
      <c r="CL9" s="5" t="s">
        <v>216</v>
      </c>
      <c r="CM9" s="5">
        <v>0</v>
      </c>
      <c r="CN9" s="5" t="s">
        <v>251</v>
      </c>
      <c r="CO9" s="5">
        <v>0</v>
      </c>
      <c r="CP9" s="5" t="s">
        <v>251</v>
      </c>
      <c r="CQ9" s="5">
        <v>0</v>
      </c>
      <c r="CR9" s="5" t="s">
        <v>217</v>
      </c>
      <c r="CS9" s="5">
        <v>1</v>
      </c>
      <c r="CT9" s="5" t="s">
        <v>217</v>
      </c>
      <c r="CU9" s="5">
        <v>1</v>
      </c>
      <c r="CV9" s="5" t="s">
        <v>217</v>
      </c>
      <c r="CW9" s="5">
        <v>2</v>
      </c>
      <c r="CX9" s="5" t="s">
        <v>217</v>
      </c>
      <c r="CY9" s="5">
        <v>5</v>
      </c>
      <c r="CZ9" s="5" t="s">
        <v>217</v>
      </c>
      <c r="DA9" s="5">
        <v>4</v>
      </c>
      <c r="DB9" s="5" t="s">
        <v>251</v>
      </c>
      <c r="DC9" s="5">
        <v>0</v>
      </c>
      <c r="DD9" s="5" t="s">
        <v>252</v>
      </c>
      <c r="DE9" s="5" t="s">
        <v>204</v>
      </c>
      <c r="DF9" s="5" t="s">
        <v>204</v>
      </c>
      <c r="DG9" s="5" t="s">
        <v>210</v>
      </c>
      <c r="DH9" s="5" t="s">
        <v>200</v>
      </c>
      <c r="DI9" s="5" t="s">
        <v>210</v>
      </c>
      <c r="DJ9" s="5" t="s">
        <v>210</v>
      </c>
      <c r="DK9" s="5" t="s">
        <v>210</v>
      </c>
      <c r="DL9" s="5" t="s">
        <v>210</v>
      </c>
      <c r="DM9" s="5" t="s">
        <v>200</v>
      </c>
      <c r="DN9" s="5" t="s">
        <v>353</v>
      </c>
      <c r="DO9" s="5" t="s">
        <v>204</v>
      </c>
      <c r="DP9" s="5" t="s">
        <v>254</v>
      </c>
      <c r="DQ9" s="5" t="s">
        <v>354</v>
      </c>
      <c r="DR9" s="5" t="s">
        <v>210</v>
      </c>
      <c r="DS9" s="5" t="s">
        <v>210</v>
      </c>
      <c r="DT9" s="5" t="s">
        <v>210</v>
      </c>
      <c r="DU9" s="5" t="s">
        <v>219</v>
      </c>
      <c r="DV9" s="5" t="s">
        <v>204</v>
      </c>
      <c r="DW9" s="5" t="s">
        <v>200</v>
      </c>
      <c r="DX9" s="5" t="s">
        <v>210</v>
      </c>
      <c r="DY9" s="5" t="s">
        <v>210</v>
      </c>
      <c r="DZ9" s="5" t="s">
        <v>219</v>
      </c>
      <c r="EA9" s="5" t="s">
        <v>204</v>
      </c>
      <c r="EB9" s="5" t="s">
        <v>210</v>
      </c>
      <c r="EC9" s="5" t="s">
        <v>204</v>
      </c>
      <c r="ED9" s="5" t="s">
        <v>204</v>
      </c>
      <c r="EE9" s="5" t="s">
        <v>219</v>
      </c>
      <c r="EF9" s="5" t="s">
        <v>204</v>
      </c>
      <c r="EG9" s="5" t="s">
        <v>210</v>
      </c>
      <c r="EH9" s="5" t="s">
        <v>204</v>
      </c>
      <c r="EI9" s="5" t="s">
        <v>210</v>
      </c>
      <c r="EJ9" s="5" t="s">
        <v>219</v>
      </c>
      <c r="EK9" s="5" t="s">
        <v>204</v>
      </c>
      <c r="EL9" s="5" t="s">
        <v>200</v>
      </c>
      <c r="EM9" s="5" t="s">
        <v>355</v>
      </c>
      <c r="EN9" s="5" t="s">
        <v>210</v>
      </c>
      <c r="EO9" s="5" t="s">
        <v>221</v>
      </c>
      <c r="EP9" s="5" t="s">
        <v>356</v>
      </c>
      <c r="EQ9" s="5" t="s">
        <v>200</v>
      </c>
      <c r="ER9" s="5" t="s">
        <v>357</v>
      </c>
      <c r="ES9" s="79" t="s">
        <v>261</v>
      </c>
      <c r="ET9" s="20" t="s">
        <v>261</v>
      </c>
      <c r="EU9" s="5" t="s">
        <v>358</v>
      </c>
      <c r="EV9" s="80" t="s">
        <v>204</v>
      </c>
      <c r="EW9" s="5" t="s">
        <v>204</v>
      </c>
      <c r="EX9" s="5" t="s">
        <v>204</v>
      </c>
      <c r="EY9" s="5" t="s">
        <v>262</v>
      </c>
      <c r="EZ9" s="5" t="s">
        <v>228</v>
      </c>
      <c r="FA9" s="5" t="s">
        <v>210</v>
      </c>
      <c r="FB9" s="5" t="s">
        <v>261</v>
      </c>
      <c r="FC9" s="5" t="s">
        <v>200</v>
      </c>
      <c r="FD9" s="5" t="s">
        <v>315</v>
      </c>
      <c r="FE9" s="5">
        <f>AMSTAR!BG9</f>
        <v>13</v>
      </c>
      <c r="FF9" s="5">
        <f>AMSTAR!BF9</f>
        <v>5.5</v>
      </c>
      <c r="FG9" s="34">
        <f t="shared" si="1"/>
        <v>0.42307692307692307</v>
      </c>
    </row>
    <row r="10" spans="1:163">
      <c r="A10" s="5"/>
      <c r="B10" s="12">
        <v>21604</v>
      </c>
      <c r="C10" s="14" t="s">
        <v>359</v>
      </c>
      <c r="D10" s="14">
        <v>2017</v>
      </c>
      <c r="E10" s="14" t="s">
        <v>360</v>
      </c>
      <c r="F10" s="14" t="s">
        <v>233</v>
      </c>
      <c r="G10" s="5" t="s">
        <v>361</v>
      </c>
      <c r="H10" s="5" t="s">
        <v>204</v>
      </c>
      <c r="I10" s="5">
        <v>8</v>
      </c>
      <c r="J10" s="5" t="s">
        <v>362</v>
      </c>
      <c r="K10" s="5" t="s">
        <v>200</v>
      </c>
      <c r="L10" s="5" t="s">
        <v>236</v>
      </c>
      <c r="M10" s="5" t="s">
        <v>363</v>
      </c>
      <c r="N10" s="5" t="s">
        <v>209</v>
      </c>
      <c r="O10" s="82">
        <v>2015</v>
      </c>
      <c r="P10" s="5" t="s">
        <v>210</v>
      </c>
      <c r="Q10" s="5" t="s">
        <v>204</v>
      </c>
      <c r="R10" s="5" t="s">
        <v>364</v>
      </c>
      <c r="S10" s="5" t="s">
        <v>209</v>
      </c>
      <c r="T10" s="5" t="s">
        <v>241</v>
      </c>
      <c r="U10" s="5" t="s">
        <v>365</v>
      </c>
      <c r="V10" s="5" t="s">
        <v>200</v>
      </c>
      <c r="W10" s="5" t="s">
        <v>200</v>
      </c>
      <c r="X10" s="5">
        <v>5</v>
      </c>
      <c r="Y10" s="5">
        <v>5</v>
      </c>
      <c r="Z10" s="5">
        <v>5</v>
      </c>
      <c r="AA10" s="5" t="s">
        <v>204</v>
      </c>
      <c r="AB10" s="5">
        <v>46</v>
      </c>
      <c r="AC10" s="5">
        <v>32</v>
      </c>
      <c r="AD10" s="5">
        <v>8</v>
      </c>
      <c r="AE10" s="5">
        <v>17</v>
      </c>
      <c r="AF10" s="5" t="s">
        <v>366</v>
      </c>
      <c r="AG10" s="5" t="s">
        <v>367</v>
      </c>
      <c r="AH10" s="5" t="s">
        <v>368</v>
      </c>
      <c r="AI10" s="5">
        <f t="shared" si="0"/>
        <v>2</v>
      </c>
      <c r="AJ10" s="5" t="s">
        <v>200</v>
      </c>
      <c r="AK10" s="5" t="s">
        <v>369</v>
      </c>
      <c r="AL10" s="5" t="s">
        <v>200</v>
      </c>
      <c r="AM10" s="5" t="s">
        <v>370</v>
      </c>
      <c r="AN10" s="5" t="s">
        <v>210</v>
      </c>
      <c r="AO10" s="5" t="s">
        <v>204</v>
      </c>
      <c r="AP10" s="5" t="s">
        <v>371</v>
      </c>
      <c r="AQ10" s="5" t="s">
        <v>371</v>
      </c>
      <c r="AR10" s="5" t="s">
        <v>371</v>
      </c>
      <c r="AS10" s="5" t="s">
        <v>371</v>
      </c>
      <c r="AT10" s="5" t="s">
        <v>371</v>
      </c>
      <c r="AU10" s="5" t="s">
        <v>372</v>
      </c>
      <c r="AV10" s="5" t="s">
        <v>209</v>
      </c>
      <c r="AW10" s="5" t="s">
        <v>204</v>
      </c>
      <c r="AX10" s="5" t="s">
        <v>372</v>
      </c>
      <c r="AY10" s="5" t="s">
        <v>204</v>
      </c>
      <c r="AZ10" s="5" t="s">
        <v>372</v>
      </c>
      <c r="BA10" s="5" t="s">
        <v>204</v>
      </c>
      <c r="BB10" s="5" t="s">
        <v>372</v>
      </c>
      <c r="BC10" s="5" t="s">
        <v>204</v>
      </c>
      <c r="BD10" s="5" t="s">
        <v>372</v>
      </c>
      <c r="BE10" s="5" t="s">
        <v>204</v>
      </c>
      <c r="BF10" s="5" t="s">
        <v>372</v>
      </c>
      <c r="BG10" s="5" t="s">
        <v>204</v>
      </c>
      <c r="BH10" s="5" t="s">
        <v>372</v>
      </c>
      <c r="BI10" s="5" t="s">
        <v>204</v>
      </c>
      <c r="BJ10" s="5" t="s">
        <v>372</v>
      </c>
      <c r="BK10" s="5" t="s">
        <v>204</v>
      </c>
      <c r="BL10" s="5" t="s">
        <v>249</v>
      </c>
      <c r="BM10" s="5" t="s">
        <v>373</v>
      </c>
      <c r="BN10" s="5" t="s">
        <v>210</v>
      </c>
      <c r="BO10" s="5" t="s">
        <v>200</v>
      </c>
      <c r="BP10" s="5" t="s">
        <v>210</v>
      </c>
      <c r="BQ10" s="5" t="s">
        <v>210</v>
      </c>
      <c r="BR10" s="5" t="s">
        <v>210</v>
      </c>
      <c r="BS10" s="5" t="s">
        <v>210</v>
      </c>
      <c r="BT10" s="5" t="s">
        <v>210</v>
      </c>
      <c r="BU10" s="5" t="s">
        <v>204</v>
      </c>
      <c r="BV10" s="5">
        <f>COUNTIF(BN10:BT10, "yes")</f>
        <v>1</v>
      </c>
      <c r="BW10" s="5" t="s">
        <v>203</v>
      </c>
      <c r="BX10" s="5" t="s">
        <v>203</v>
      </c>
      <c r="BY10" s="5" t="s">
        <v>203</v>
      </c>
      <c r="BZ10" s="5" t="s">
        <v>204</v>
      </c>
      <c r="CA10" s="5">
        <f>COUNTIF(BW10:BY10, "yes")</f>
        <v>0</v>
      </c>
      <c r="CB10" s="5" t="s">
        <v>210</v>
      </c>
      <c r="CC10" s="5" t="s">
        <v>210</v>
      </c>
      <c r="CD10" s="5" t="s">
        <v>210</v>
      </c>
      <c r="CE10" s="5" t="s">
        <v>210</v>
      </c>
      <c r="CF10" s="5" t="s">
        <v>210</v>
      </c>
      <c r="CG10" s="5" t="s">
        <v>210</v>
      </c>
      <c r="CH10" s="5" t="s">
        <v>210</v>
      </c>
      <c r="CI10" s="5" t="s">
        <v>210</v>
      </c>
      <c r="CJ10" s="5" t="s">
        <v>204</v>
      </c>
      <c r="CK10" s="5">
        <f>COUNTIF(CB10:CI10, "yes")</f>
        <v>0</v>
      </c>
      <c r="CL10" s="5" t="s">
        <v>252</v>
      </c>
      <c r="CM10" s="5">
        <v>0</v>
      </c>
      <c r="CN10" s="5" t="s">
        <v>252</v>
      </c>
      <c r="CO10" s="5">
        <v>0</v>
      </c>
      <c r="CP10" s="5" t="s">
        <v>252</v>
      </c>
      <c r="CQ10" s="5">
        <v>0</v>
      </c>
      <c r="CR10" s="5" t="s">
        <v>217</v>
      </c>
      <c r="CS10" s="5">
        <v>2</v>
      </c>
      <c r="CT10" s="5" t="s">
        <v>252</v>
      </c>
      <c r="CU10" s="5">
        <v>0</v>
      </c>
      <c r="CV10" s="5" t="s">
        <v>217</v>
      </c>
      <c r="CW10" s="5">
        <v>3</v>
      </c>
      <c r="CX10" s="5" t="s">
        <v>252</v>
      </c>
      <c r="CY10" s="5">
        <v>0</v>
      </c>
      <c r="CZ10" s="5" t="s">
        <v>252</v>
      </c>
      <c r="DA10" s="5">
        <v>0</v>
      </c>
      <c r="DB10" s="5" t="s">
        <v>252</v>
      </c>
      <c r="DC10" s="5">
        <v>0</v>
      </c>
      <c r="DD10" s="5" t="s">
        <v>252</v>
      </c>
      <c r="DE10" s="5" t="s">
        <v>204</v>
      </c>
      <c r="DF10" s="5" t="s">
        <v>374</v>
      </c>
      <c r="DG10" s="5" t="s">
        <v>200</v>
      </c>
      <c r="DH10" s="5" t="s">
        <v>200</v>
      </c>
      <c r="DI10" s="5" t="s">
        <v>210</v>
      </c>
      <c r="DJ10" s="5" t="s">
        <v>210</v>
      </c>
      <c r="DK10" s="5" t="s">
        <v>210</v>
      </c>
      <c r="DL10" s="5" t="s">
        <v>210</v>
      </c>
      <c r="DM10" s="5" t="s">
        <v>208</v>
      </c>
      <c r="DN10" s="5" t="s">
        <v>375</v>
      </c>
      <c r="DO10" s="5" t="s">
        <v>204</v>
      </c>
      <c r="DP10" s="5" t="s">
        <v>221</v>
      </c>
      <c r="DQ10" s="5" t="s">
        <v>376</v>
      </c>
      <c r="DR10" s="5" t="s">
        <v>210</v>
      </c>
      <c r="DS10" s="5" t="s">
        <v>210</v>
      </c>
      <c r="DT10" s="5" t="s">
        <v>210</v>
      </c>
      <c r="DU10" s="5" t="s">
        <v>219</v>
      </c>
      <c r="DV10" s="5" t="s">
        <v>204</v>
      </c>
      <c r="DW10" s="5" t="s">
        <v>210</v>
      </c>
      <c r="DX10" s="5" t="s">
        <v>210</v>
      </c>
      <c r="DY10" s="5" t="s">
        <v>210</v>
      </c>
      <c r="DZ10" s="5" t="s">
        <v>219</v>
      </c>
      <c r="EA10" s="5" t="s">
        <v>204</v>
      </c>
      <c r="EB10" s="5" t="s">
        <v>210</v>
      </c>
      <c r="EC10" s="5" t="s">
        <v>210</v>
      </c>
      <c r="ED10" s="5" t="s">
        <v>210</v>
      </c>
      <c r="EE10" s="5" t="s">
        <v>219</v>
      </c>
      <c r="EF10" s="5" t="s">
        <v>204</v>
      </c>
      <c r="EG10" s="5" t="s">
        <v>210</v>
      </c>
      <c r="EH10" s="5" t="s">
        <v>210</v>
      </c>
      <c r="EI10" s="5" t="s">
        <v>210</v>
      </c>
      <c r="EJ10" s="5" t="s">
        <v>219</v>
      </c>
      <c r="EK10" s="5" t="s">
        <v>204</v>
      </c>
      <c r="EL10" s="5" t="s">
        <v>210</v>
      </c>
      <c r="EM10" s="5" t="s">
        <v>210</v>
      </c>
      <c r="EN10" s="5" t="s">
        <v>210</v>
      </c>
      <c r="EO10" s="5" t="s">
        <v>219</v>
      </c>
      <c r="EP10" s="5" t="s">
        <v>204</v>
      </c>
      <c r="EQ10" s="5" t="s">
        <v>200</v>
      </c>
      <c r="ER10" s="5" t="s">
        <v>377</v>
      </c>
      <c r="ES10" s="79" t="s">
        <v>261</v>
      </c>
      <c r="ET10" s="20" t="s">
        <v>292</v>
      </c>
      <c r="EU10" s="5" t="s">
        <v>378</v>
      </c>
      <c r="EV10" s="80" t="s">
        <v>204</v>
      </c>
      <c r="EW10" s="5" t="s">
        <v>204</v>
      </c>
      <c r="EX10" s="5" t="s">
        <v>204</v>
      </c>
      <c r="EY10" s="5" t="s">
        <v>262</v>
      </c>
      <c r="EZ10" s="5" t="s">
        <v>228</v>
      </c>
      <c r="FA10" s="5" t="s">
        <v>210</v>
      </c>
      <c r="FB10" s="5" t="s">
        <v>261</v>
      </c>
      <c r="FC10" s="5" t="s">
        <v>210</v>
      </c>
      <c r="FD10" s="5" t="s">
        <v>204</v>
      </c>
      <c r="FE10" s="5">
        <f>AMSTAR!BG10</f>
        <v>13</v>
      </c>
      <c r="FF10" s="5">
        <f>AMSTAR!BF10</f>
        <v>5.5</v>
      </c>
      <c r="FG10" s="34">
        <f t="shared" si="1"/>
        <v>0.42307692307692307</v>
      </c>
    </row>
    <row r="11" spans="1:163">
      <c r="A11" s="5"/>
      <c r="B11" s="12">
        <v>898</v>
      </c>
      <c r="C11" s="14" t="s">
        <v>379</v>
      </c>
      <c r="D11" s="14">
        <v>2011</v>
      </c>
      <c r="E11" s="14" t="s">
        <v>380</v>
      </c>
      <c r="F11" s="14" t="s">
        <v>381</v>
      </c>
      <c r="G11" s="5" t="s">
        <v>382</v>
      </c>
      <c r="H11" s="5" t="s">
        <v>383</v>
      </c>
      <c r="I11" s="5">
        <v>10</v>
      </c>
      <c r="J11" s="5" t="s">
        <v>384</v>
      </c>
      <c r="K11" s="5" t="s">
        <v>200</v>
      </c>
      <c r="L11" s="5" t="s">
        <v>201</v>
      </c>
      <c r="M11" s="5" t="s">
        <v>385</v>
      </c>
      <c r="N11" s="5" t="s">
        <v>202</v>
      </c>
      <c r="O11" s="82">
        <v>2009</v>
      </c>
      <c r="P11" s="5" t="s">
        <v>210</v>
      </c>
      <c r="Q11" s="5" t="s">
        <v>204</v>
      </c>
      <c r="R11" s="5" t="s">
        <v>386</v>
      </c>
      <c r="S11" s="5" t="s">
        <v>209</v>
      </c>
      <c r="T11" s="5" t="s">
        <v>207</v>
      </c>
      <c r="U11" s="5" t="s">
        <v>204</v>
      </c>
      <c r="V11" s="5" t="s">
        <v>210</v>
      </c>
      <c r="W11" s="5" t="s">
        <v>200</v>
      </c>
      <c r="X11" s="5">
        <v>3</v>
      </c>
      <c r="Y11" s="5">
        <v>3</v>
      </c>
      <c r="Z11" s="5">
        <v>3</v>
      </c>
      <c r="AA11" s="5" t="s">
        <v>204</v>
      </c>
      <c r="AB11" s="5">
        <f>SUM(AC11:AD11)</f>
        <v>107</v>
      </c>
      <c r="AC11" s="5">
        <v>5</v>
      </c>
      <c r="AD11" s="5">
        <f>SUM(40+22+40)</f>
        <v>102</v>
      </c>
      <c r="AE11" s="5" t="s">
        <v>209</v>
      </c>
      <c r="AF11" s="5" t="s">
        <v>209</v>
      </c>
      <c r="AG11" s="5" t="s">
        <v>387</v>
      </c>
      <c r="AH11" s="5" t="s">
        <v>388</v>
      </c>
      <c r="AI11" s="5">
        <f t="shared" si="0"/>
        <v>1</v>
      </c>
      <c r="AJ11" s="5" t="s">
        <v>210</v>
      </c>
      <c r="AK11" s="5" t="s">
        <v>204</v>
      </c>
      <c r="AL11" s="5" t="s">
        <v>200</v>
      </c>
      <c r="AM11" s="5" t="s">
        <v>389</v>
      </c>
      <c r="AN11" s="5" t="s">
        <v>210</v>
      </c>
      <c r="AO11" s="5" t="s">
        <v>204</v>
      </c>
      <c r="AP11" s="5" t="s">
        <v>371</v>
      </c>
      <c r="AQ11" s="5" t="s">
        <v>371</v>
      </c>
      <c r="AR11" s="5" t="s">
        <v>371</v>
      </c>
      <c r="AS11" s="5" t="s">
        <v>371</v>
      </c>
      <c r="AT11" s="5" t="s">
        <v>371</v>
      </c>
      <c r="AU11" s="5">
        <v>1</v>
      </c>
      <c r="AV11" s="5">
        <v>0</v>
      </c>
      <c r="AW11" s="5" t="s">
        <v>204</v>
      </c>
      <c r="AX11" s="5">
        <v>0</v>
      </c>
      <c r="AY11" s="5" t="s">
        <v>204</v>
      </c>
      <c r="AZ11" s="5">
        <v>0</v>
      </c>
      <c r="BA11" s="5" t="s">
        <v>204</v>
      </c>
      <c r="BB11" s="5">
        <v>2</v>
      </c>
      <c r="BC11" s="5" t="s">
        <v>390</v>
      </c>
      <c r="BD11" s="5">
        <v>0</v>
      </c>
      <c r="BE11" s="5" t="s">
        <v>204</v>
      </c>
      <c r="BF11" s="5">
        <v>0</v>
      </c>
      <c r="BG11" s="5" t="s">
        <v>204</v>
      </c>
      <c r="BH11" s="5">
        <v>0</v>
      </c>
      <c r="BI11" s="5" t="s">
        <v>204</v>
      </c>
      <c r="BJ11" s="5">
        <v>0</v>
      </c>
      <c r="BK11" s="5" t="s">
        <v>204</v>
      </c>
      <c r="BL11" s="5" t="s">
        <v>249</v>
      </c>
      <c r="BM11" s="84" t="s">
        <v>391</v>
      </c>
      <c r="BN11" s="5" t="s">
        <v>200</v>
      </c>
      <c r="BO11" s="5" t="s">
        <v>200</v>
      </c>
      <c r="BP11" s="5" t="s">
        <v>210</v>
      </c>
      <c r="BQ11" s="5" t="s">
        <v>200</v>
      </c>
      <c r="BR11" s="5" t="s">
        <v>210</v>
      </c>
      <c r="BS11" s="5" t="s">
        <v>210</v>
      </c>
      <c r="BT11" s="5" t="s">
        <v>210</v>
      </c>
      <c r="BU11" s="5" t="s">
        <v>204</v>
      </c>
      <c r="BV11" s="5">
        <f>COUNTIF(BN11:BT11, "yes")</f>
        <v>3</v>
      </c>
      <c r="BW11" s="5" t="s">
        <v>203</v>
      </c>
      <c r="BX11" s="5" t="s">
        <v>203</v>
      </c>
      <c r="BY11" s="5" t="s">
        <v>203</v>
      </c>
      <c r="BZ11" s="5" t="s">
        <v>204</v>
      </c>
      <c r="CA11" s="5">
        <f>COUNTIF(BW11:BY11, "yes")</f>
        <v>0</v>
      </c>
      <c r="CB11" s="5" t="s">
        <v>210</v>
      </c>
      <c r="CC11" s="5" t="s">
        <v>210</v>
      </c>
      <c r="CD11" s="5" t="s">
        <v>210</v>
      </c>
      <c r="CE11" s="5" t="s">
        <v>210</v>
      </c>
      <c r="CF11" s="5" t="s">
        <v>210</v>
      </c>
      <c r="CG11" s="5" t="s">
        <v>210</v>
      </c>
      <c r="CH11" s="5" t="s">
        <v>210</v>
      </c>
      <c r="CI11" s="5" t="s">
        <v>210</v>
      </c>
      <c r="CJ11" s="5" t="s">
        <v>204</v>
      </c>
      <c r="CK11" s="5">
        <f>COUNTIF(CB11:CI11, "yes")</f>
        <v>0</v>
      </c>
      <c r="CL11" s="5" t="s">
        <v>216</v>
      </c>
      <c r="CM11" s="5">
        <v>0</v>
      </c>
      <c r="CN11" s="5" t="s">
        <v>217</v>
      </c>
      <c r="CO11" s="5">
        <v>3</v>
      </c>
      <c r="CP11" s="5" t="s">
        <v>216</v>
      </c>
      <c r="CQ11" s="5">
        <v>0</v>
      </c>
      <c r="CR11" s="5" t="s">
        <v>216</v>
      </c>
      <c r="CS11" s="5">
        <v>0</v>
      </c>
      <c r="CT11" s="5" t="s">
        <v>216</v>
      </c>
      <c r="CU11" s="5">
        <v>0</v>
      </c>
      <c r="CV11" s="5" t="s">
        <v>216</v>
      </c>
      <c r="CW11" s="5">
        <v>0</v>
      </c>
      <c r="CX11" s="5" t="s">
        <v>216</v>
      </c>
      <c r="CY11" s="5">
        <v>0</v>
      </c>
      <c r="CZ11" s="5" t="s">
        <v>216</v>
      </c>
      <c r="DA11" s="5">
        <v>0</v>
      </c>
      <c r="DB11" s="5" t="s">
        <v>216</v>
      </c>
      <c r="DC11" s="5">
        <v>0</v>
      </c>
      <c r="DD11" s="5" t="s">
        <v>216</v>
      </c>
      <c r="DE11" s="5">
        <v>0</v>
      </c>
      <c r="DF11" s="5" t="s">
        <v>392</v>
      </c>
      <c r="DG11" s="5" t="s">
        <v>210</v>
      </c>
      <c r="DH11" s="5" t="s">
        <v>210</v>
      </c>
      <c r="DI11" s="5" t="s">
        <v>200</v>
      </c>
      <c r="DJ11" s="5" t="s">
        <v>200</v>
      </c>
      <c r="DK11" s="5" t="s">
        <v>200</v>
      </c>
      <c r="DL11" s="5" t="s">
        <v>210</v>
      </c>
      <c r="DM11" s="5" t="s">
        <v>200</v>
      </c>
      <c r="DN11" s="5" t="s">
        <v>393</v>
      </c>
      <c r="DO11" s="5" t="s">
        <v>204</v>
      </c>
      <c r="DP11" s="5" t="s">
        <v>221</v>
      </c>
      <c r="DQ11" s="5" t="s">
        <v>394</v>
      </c>
      <c r="DR11" s="5" t="s">
        <v>210</v>
      </c>
      <c r="DS11" s="5" t="s">
        <v>210</v>
      </c>
      <c r="DT11" s="5" t="s">
        <v>210</v>
      </c>
      <c r="DU11" s="5" t="s">
        <v>219</v>
      </c>
      <c r="DV11" s="5" t="s">
        <v>204</v>
      </c>
      <c r="DW11" s="5" t="s">
        <v>210</v>
      </c>
      <c r="DX11" s="5" t="s">
        <v>210</v>
      </c>
      <c r="DY11" s="5" t="s">
        <v>210</v>
      </c>
      <c r="DZ11" s="5" t="s">
        <v>219</v>
      </c>
      <c r="EA11" s="5" t="s">
        <v>204</v>
      </c>
      <c r="EB11" s="5" t="s">
        <v>210</v>
      </c>
      <c r="EC11" s="5" t="s">
        <v>210</v>
      </c>
      <c r="ED11" s="5" t="s">
        <v>210</v>
      </c>
      <c r="EE11" s="5" t="s">
        <v>219</v>
      </c>
      <c r="EF11" s="5" t="s">
        <v>204</v>
      </c>
      <c r="EG11" s="5" t="s">
        <v>210</v>
      </c>
      <c r="EH11" s="5" t="s">
        <v>210</v>
      </c>
      <c r="EI11" s="5" t="s">
        <v>210</v>
      </c>
      <c r="EJ11" s="5" t="s">
        <v>219</v>
      </c>
      <c r="EK11" s="5" t="s">
        <v>204</v>
      </c>
      <c r="EL11" s="5" t="s">
        <v>210</v>
      </c>
      <c r="EM11" s="5" t="s">
        <v>210</v>
      </c>
      <c r="EN11" s="5" t="s">
        <v>210</v>
      </c>
      <c r="EO11" s="5" t="s">
        <v>219</v>
      </c>
      <c r="EP11" s="5" t="s">
        <v>204</v>
      </c>
      <c r="EQ11" s="5" t="s">
        <v>200</v>
      </c>
      <c r="ER11" s="5" t="s">
        <v>395</v>
      </c>
      <c r="ES11" s="79">
        <v>3</v>
      </c>
      <c r="ET11" s="20" t="s">
        <v>292</v>
      </c>
      <c r="EU11" s="5" t="s">
        <v>396</v>
      </c>
      <c r="EV11" s="80" t="s">
        <v>204</v>
      </c>
      <c r="EW11" s="5" t="s">
        <v>204</v>
      </c>
      <c r="EX11" s="5" t="s">
        <v>204</v>
      </c>
      <c r="EY11" s="5" t="s">
        <v>227</v>
      </c>
      <c r="EZ11" s="5" t="s">
        <v>228</v>
      </c>
      <c r="FA11" s="5" t="s">
        <v>200</v>
      </c>
      <c r="FB11" s="5" t="s">
        <v>397</v>
      </c>
      <c r="FC11" s="5" t="s">
        <v>200</v>
      </c>
      <c r="FD11" s="5" t="s">
        <v>315</v>
      </c>
      <c r="FE11" s="5">
        <f>AMSTAR!BG11</f>
        <v>13</v>
      </c>
      <c r="FF11" s="5">
        <f>AMSTAR!BF11</f>
        <v>11</v>
      </c>
      <c r="FG11" s="34">
        <f t="shared" si="1"/>
        <v>0.84615384615384615</v>
      </c>
    </row>
    <row r="12" spans="1:163">
      <c r="A12" s="5"/>
      <c r="B12" s="14"/>
      <c r="C12" s="14" t="s">
        <v>379</v>
      </c>
      <c r="D12" s="14">
        <v>2010</v>
      </c>
      <c r="E12" s="14" t="s">
        <v>398</v>
      </c>
      <c r="F12" s="14" t="s">
        <v>381</v>
      </c>
      <c r="G12" s="83" t="s">
        <v>399</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79"/>
      <c r="ET12" s="20"/>
      <c r="EU12" s="5"/>
      <c r="EV12" s="80"/>
      <c r="EW12" s="80"/>
      <c r="EX12" s="80"/>
      <c r="EY12" s="5"/>
      <c r="EZ12" s="5"/>
      <c r="FA12" s="5"/>
      <c r="FB12" s="5"/>
      <c r="FC12" s="5"/>
      <c r="FD12" s="5"/>
      <c r="FE12" s="5"/>
      <c r="FF12" s="5"/>
      <c r="FG12" s="34"/>
    </row>
    <row r="13" spans="1:163">
      <c r="A13" s="5"/>
      <c r="B13" s="14"/>
      <c r="C13" s="14" t="s">
        <v>379</v>
      </c>
      <c r="D13" s="14">
        <v>2018</v>
      </c>
      <c r="E13" s="14" t="s">
        <v>400</v>
      </c>
      <c r="F13" s="14" t="s">
        <v>381</v>
      </c>
      <c r="G13" s="83" t="s">
        <v>401</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79"/>
      <c r="ET13" s="20"/>
      <c r="EU13" s="5"/>
      <c r="EV13" s="80"/>
      <c r="EW13" s="5"/>
      <c r="EX13" s="5"/>
      <c r="EY13" s="5"/>
      <c r="EZ13" s="5"/>
      <c r="FA13" s="5"/>
      <c r="FB13" s="5"/>
      <c r="FC13" s="5"/>
      <c r="FD13" s="5"/>
      <c r="FE13" s="5"/>
      <c r="FF13" s="5"/>
      <c r="FG13" s="34"/>
    </row>
    <row r="14" spans="1:163">
      <c r="A14" s="5"/>
      <c r="B14" s="14"/>
      <c r="C14" s="85" t="s">
        <v>402</v>
      </c>
      <c r="D14" s="85">
        <v>2010</v>
      </c>
      <c r="E14" s="85" t="s">
        <v>403</v>
      </c>
      <c r="F14" s="14" t="s">
        <v>196</v>
      </c>
      <c r="G14" s="5" t="s">
        <v>404</v>
      </c>
      <c r="H14" s="5" t="s">
        <v>405</v>
      </c>
      <c r="I14" s="5">
        <v>3</v>
      </c>
      <c r="J14" s="5" t="s">
        <v>406</v>
      </c>
      <c r="K14" s="5" t="s">
        <v>200</v>
      </c>
      <c r="L14" s="5" t="s">
        <v>236</v>
      </c>
      <c r="M14" s="5" t="s">
        <v>209</v>
      </c>
      <c r="N14" s="5">
        <v>1990</v>
      </c>
      <c r="O14" s="5">
        <v>2009</v>
      </c>
      <c r="P14" s="5" t="s">
        <v>203</v>
      </c>
      <c r="Q14" s="5" t="s">
        <v>204</v>
      </c>
      <c r="R14" s="5" t="s">
        <v>407</v>
      </c>
      <c r="S14" s="5" t="s">
        <v>204</v>
      </c>
      <c r="T14" t="s">
        <v>241</v>
      </c>
      <c r="U14" s="5" t="s">
        <v>408</v>
      </c>
      <c r="V14" s="5" t="s">
        <v>203</v>
      </c>
      <c r="W14" s="5" t="s">
        <v>203</v>
      </c>
      <c r="X14" s="5">
        <v>29</v>
      </c>
      <c r="Y14" s="5">
        <v>38</v>
      </c>
      <c r="Z14" s="5">
        <v>2</v>
      </c>
      <c r="AA14" s="5" t="s">
        <v>409</v>
      </c>
      <c r="AB14" s="5">
        <f>SUM(175+38)</f>
        <v>213</v>
      </c>
      <c r="AC14" s="5" t="s">
        <v>209</v>
      </c>
      <c r="AD14" s="5" t="s">
        <v>209</v>
      </c>
      <c r="AE14" s="5">
        <v>18</v>
      </c>
      <c r="AF14" s="5">
        <v>60</v>
      </c>
      <c r="AG14" s="5" t="s">
        <v>209</v>
      </c>
      <c r="AH14" s="5" t="s">
        <v>209</v>
      </c>
      <c r="AI14" s="5">
        <f t="shared" ref="AI14:AI39" si="2">COUNTIF(AJ14:AN14, "yes")</f>
        <v>1</v>
      </c>
      <c r="AJ14" s="5" t="s">
        <v>203</v>
      </c>
      <c r="AK14" s="5" t="s">
        <v>204</v>
      </c>
      <c r="AL14" s="5" t="s">
        <v>203</v>
      </c>
      <c r="AM14" s="5" t="s">
        <v>204</v>
      </c>
      <c r="AN14" s="5" t="s">
        <v>208</v>
      </c>
      <c r="AO14" s="5" t="s">
        <v>410</v>
      </c>
      <c r="AP14" s="5" t="s">
        <v>203</v>
      </c>
      <c r="AQ14" s="5" t="s">
        <v>208</v>
      </c>
      <c r="AR14" s="5" t="s">
        <v>203</v>
      </c>
      <c r="AS14" s="5" t="s">
        <v>203</v>
      </c>
      <c r="AT14" s="5" t="s">
        <v>203</v>
      </c>
      <c r="AU14" s="5">
        <v>0</v>
      </c>
      <c r="AV14" s="5">
        <v>0</v>
      </c>
      <c r="AW14" s="5" t="s">
        <v>204</v>
      </c>
      <c r="AX14" s="5">
        <v>0</v>
      </c>
      <c r="AY14" s="5" t="s">
        <v>204</v>
      </c>
      <c r="AZ14" s="5">
        <v>0</v>
      </c>
      <c r="BA14" s="5" t="s">
        <v>204</v>
      </c>
      <c r="BB14" s="5">
        <v>2</v>
      </c>
      <c r="BC14" s="5" t="s">
        <v>411</v>
      </c>
      <c r="BD14" s="5">
        <v>0</v>
      </c>
      <c r="BE14" s="5" t="s">
        <v>204</v>
      </c>
      <c r="BF14" s="5">
        <v>0</v>
      </c>
      <c r="BG14" s="5" t="s">
        <v>204</v>
      </c>
      <c r="BH14" s="5">
        <v>0</v>
      </c>
      <c r="BI14" s="5" t="s">
        <v>204</v>
      </c>
      <c r="BJ14" s="5">
        <v>0</v>
      </c>
      <c r="BK14" s="5" t="s">
        <v>204</v>
      </c>
      <c r="BL14" s="5" t="s">
        <v>249</v>
      </c>
      <c r="BM14" s="5" t="s">
        <v>412</v>
      </c>
      <c r="BN14" s="5" t="s">
        <v>203</v>
      </c>
      <c r="BO14" s="5" t="s">
        <v>203</v>
      </c>
      <c r="BP14" s="5" t="s">
        <v>203</v>
      </c>
      <c r="BQ14" s="5" t="s">
        <v>203</v>
      </c>
      <c r="BR14" s="5" t="s">
        <v>203</v>
      </c>
      <c r="BS14" s="5" t="s">
        <v>208</v>
      </c>
      <c r="BT14" s="5" t="s">
        <v>203</v>
      </c>
      <c r="BU14" s="5" t="s">
        <v>204</v>
      </c>
      <c r="BV14" s="5">
        <f>COUNTIF(BN14:BT14, "yes")</f>
        <v>1</v>
      </c>
      <c r="BW14" s="5" t="s">
        <v>203</v>
      </c>
      <c r="BX14" s="5" t="s">
        <v>203</v>
      </c>
      <c r="BY14" s="5" t="s">
        <v>203</v>
      </c>
      <c r="BZ14" s="5" t="s">
        <v>204</v>
      </c>
      <c r="CA14" s="5">
        <f>COUNTIF(BW14:BY14, "yes")</f>
        <v>0</v>
      </c>
      <c r="CB14" s="5" t="s">
        <v>203</v>
      </c>
      <c r="CC14" s="5" t="s">
        <v>203</v>
      </c>
      <c r="CD14" s="5" t="s">
        <v>203</v>
      </c>
      <c r="CE14" s="5" t="s">
        <v>203</v>
      </c>
      <c r="CF14" s="5" t="s">
        <v>203</v>
      </c>
      <c r="CG14" s="5" t="s">
        <v>203</v>
      </c>
      <c r="CH14" s="5" t="s">
        <v>203</v>
      </c>
      <c r="CI14" s="5" t="s">
        <v>203</v>
      </c>
      <c r="CJ14" s="5" t="s">
        <v>204</v>
      </c>
      <c r="CK14" s="5">
        <f>COUNTIF(CB14:CI14, "yes")</f>
        <v>0</v>
      </c>
      <c r="CL14" s="5" t="s">
        <v>216</v>
      </c>
      <c r="CM14" s="5">
        <v>0</v>
      </c>
      <c r="CN14" s="5" t="s">
        <v>217</v>
      </c>
      <c r="CO14" s="5">
        <v>2</v>
      </c>
      <c r="CP14" s="5" t="s">
        <v>252</v>
      </c>
      <c r="CQ14" s="5">
        <v>0</v>
      </c>
      <c r="CR14" s="5" t="s">
        <v>252</v>
      </c>
      <c r="CS14" s="5">
        <v>0</v>
      </c>
      <c r="CT14" s="5" t="s">
        <v>252</v>
      </c>
      <c r="CU14" s="5">
        <v>0</v>
      </c>
      <c r="CV14" s="5" t="s">
        <v>252</v>
      </c>
      <c r="CW14" s="5">
        <v>0</v>
      </c>
      <c r="CX14" s="5" t="s">
        <v>252</v>
      </c>
      <c r="CY14" s="5">
        <v>0</v>
      </c>
      <c r="CZ14" s="5" t="s">
        <v>252</v>
      </c>
      <c r="DA14" s="5">
        <v>0</v>
      </c>
      <c r="DB14" s="5" t="s">
        <v>252</v>
      </c>
      <c r="DC14" s="5">
        <v>0</v>
      </c>
      <c r="DD14" s="5" t="s">
        <v>252</v>
      </c>
      <c r="DE14" s="5">
        <v>0</v>
      </c>
      <c r="DF14" s="5" t="s">
        <v>413</v>
      </c>
      <c r="DG14" s="5" t="s">
        <v>203</v>
      </c>
      <c r="DH14" s="5" t="s">
        <v>203</v>
      </c>
      <c r="DI14" s="5" t="s">
        <v>203</v>
      </c>
      <c r="DJ14" s="5" t="s">
        <v>203</v>
      </c>
      <c r="DK14" s="5" t="s">
        <v>203</v>
      </c>
      <c r="DL14" s="5" t="s">
        <v>208</v>
      </c>
      <c r="DM14" s="5" t="s">
        <v>203</v>
      </c>
      <c r="DN14" s="5" t="s">
        <v>204</v>
      </c>
      <c r="DO14" s="5" t="s">
        <v>210</v>
      </c>
      <c r="DP14" s="5" t="s">
        <v>219</v>
      </c>
      <c r="DQ14" s="5" t="s">
        <v>204</v>
      </c>
      <c r="DR14" s="5" t="s">
        <v>203</v>
      </c>
      <c r="DS14" s="5" t="s">
        <v>204</v>
      </c>
      <c r="DT14" s="5" t="s">
        <v>210</v>
      </c>
      <c r="DU14" s="5" t="s">
        <v>219</v>
      </c>
      <c r="DV14" s="5" t="s">
        <v>204</v>
      </c>
      <c r="DW14" s="5" t="s">
        <v>208</v>
      </c>
      <c r="DX14" s="5" t="s">
        <v>414</v>
      </c>
      <c r="DY14" s="5" t="s">
        <v>210</v>
      </c>
      <c r="DZ14" s="5" t="s">
        <v>221</v>
      </c>
      <c r="EA14" s="5" t="s">
        <v>415</v>
      </c>
      <c r="EB14" s="5" t="s">
        <v>203</v>
      </c>
      <c r="EC14" s="5" t="s">
        <v>204</v>
      </c>
      <c r="ED14" s="5" t="s">
        <v>210</v>
      </c>
      <c r="EE14" s="5" t="s">
        <v>219</v>
      </c>
      <c r="EF14" s="5" t="s">
        <v>204</v>
      </c>
      <c r="EG14" s="5" t="s">
        <v>203</v>
      </c>
      <c r="EH14" s="5" t="s">
        <v>204</v>
      </c>
      <c r="EI14" s="5" t="s">
        <v>210</v>
      </c>
      <c r="EJ14" s="5" t="s">
        <v>219</v>
      </c>
      <c r="EK14" s="5" t="s">
        <v>204</v>
      </c>
      <c r="EL14" s="5" t="s">
        <v>208</v>
      </c>
      <c r="EM14" s="5" t="s">
        <v>416</v>
      </c>
      <c r="EN14" s="5" t="s">
        <v>210</v>
      </c>
      <c r="EO14" s="5" t="s">
        <v>221</v>
      </c>
      <c r="EP14" s="5" t="s">
        <v>417</v>
      </c>
      <c r="EQ14" s="5" t="s">
        <v>200</v>
      </c>
      <c r="ER14" s="5" t="s">
        <v>418</v>
      </c>
      <c r="ES14" s="79" t="s">
        <v>419</v>
      </c>
      <c r="ET14" s="5" t="s">
        <v>261</v>
      </c>
      <c r="EU14" s="5" t="s">
        <v>204</v>
      </c>
      <c r="EV14" s="80" t="s">
        <v>371</v>
      </c>
      <c r="EW14" s="5" t="s">
        <v>371</v>
      </c>
      <c r="EX14" s="5" t="s">
        <v>371</v>
      </c>
      <c r="EY14" s="5" t="s">
        <v>227</v>
      </c>
      <c r="EZ14" s="5" t="s">
        <v>420</v>
      </c>
      <c r="FA14" s="5" t="s">
        <v>203</v>
      </c>
      <c r="FB14" s="5" t="s">
        <v>204</v>
      </c>
      <c r="FC14" s="5" t="s">
        <v>208</v>
      </c>
      <c r="FD14" s="5" t="s">
        <v>315</v>
      </c>
      <c r="FE14" s="5">
        <f>AMSTAR!BG12</f>
        <v>13</v>
      </c>
      <c r="FF14" s="5">
        <f>AMSTAR!BF12</f>
        <v>1.5</v>
      </c>
      <c r="FG14" s="34">
        <f t="shared" si="1"/>
        <v>0.11538461538461539</v>
      </c>
    </row>
    <row r="15" spans="1:163">
      <c r="A15" s="5"/>
      <c r="B15" s="12">
        <v>12031</v>
      </c>
      <c r="C15" s="14" t="s">
        <v>421</v>
      </c>
      <c r="D15" s="14">
        <v>2020</v>
      </c>
      <c r="E15" s="14" t="s">
        <v>422</v>
      </c>
      <c r="F15" s="14" t="s">
        <v>233</v>
      </c>
      <c r="G15" s="5" t="s">
        <v>423</v>
      </c>
      <c r="H15" s="5" t="s">
        <v>424</v>
      </c>
      <c r="I15" s="5">
        <v>9</v>
      </c>
      <c r="J15" s="5" t="s">
        <v>425</v>
      </c>
      <c r="K15" s="5" t="s">
        <v>208</v>
      </c>
      <c r="L15" s="5" t="s">
        <v>236</v>
      </c>
      <c r="M15" s="5" t="s">
        <v>426</v>
      </c>
      <c r="N15" s="5" t="s">
        <v>202</v>
      </c>
      <c r="O15" s="82">
        <v>2020</v>
      </c>
      <c r="P15" s="5" t="s">
        <v>203</v>
      </c>
      <c r="Q15" s="5" t="s">
        <v>427</v>
      </c>
      <c r="R15" s="5" t="s">
        <v>428</v>
      </c>
      <c r="S15" s="5" t="s">
        <v>271</v>
      </c>
      <c r="T15" s="5" t="s">
        <v>241</v>
      </c>
      <c r="U15" s="5" t="s">
        <v>429</v>
      </c>
      <c r="V15" s="5" t="s">
        <v>208</v>
      </c>
      <c r="W15" s="5" t="s">
        <v>200</v>
      </c>
      <c r="X15" s="5">
        <v>11</v>
      </c>
      <c r="Y15" s="5">
        <v>13</v>
      </c>
      <c r="Z15" s="5">
        <v>5</v>
      </c>
      <c r="AA15" s="5" t="s">
        <v>430</v>
      </c>
      <c r="AB15" s="5">
        <f>SUM(1+41+26+31+38)</f>
        <v>137</v>
      </c>
      <c r="AC15" s="5">
        <v>85</v>
      </c>
      <c r="AD15" s="5">
        <v>51</v>
      </c>
      <c r="AE15" s="5">
        <v>18</v>
      </c>
      <c r="AF15" s="5">
        <v>50</v>
      </c>
      <c r="AG15" s="5" t="s">
        <v>204</v>
      </c>
      <c r="AH15" s="5" t="s">
        <v>431</v>
      </c>
      <c r="AI15" s="5">
        <f t="shared" si="2"/>
        <v>2</v>
      </c>
      <c r="AJ15" s="5" t="s">
        <v>208</v>
      </c>
      <c r="AK15" s="5" t="s">
        <v>432</v>
      </c>
      <c r="AL15" s="5" t="s">
        <v>208</v>
      </c>
      <c r="AM15" s="5" t="s">
        <v>433</v>
      </c>
      <c r="AN15" s="5" t="s">
        <v>203</v>
      </c>
      <c r="AO15" s="5" t="s">
        <v>204</v>
      </c>
      <c r="AP15" s="5" t="s">
        <v>371</v>
      </c>
      <c r="AQ15" s="5" t="s">
        <v>371</v>
      </c>
      <c r="AR15" s="5" t="s">
        <v>371</v>
      </c>
      <c r="AS15" s="5" t="s">
        <v>371</v>
      </c>
      <c r="AT15" s="5" t="s">
        <v>371</v>
      </c>
      <c r="AU15" s="5">
        <v>0</v>
      </c>
      <c r="AV15" s="5">
        <v>1</v>
      </c>
      <c r="AW15" s="5" t="s">
        <v>434</v>
      </c>
      <c r="AX15" s="5">
        <v>0</v>
      </c>
      <c r="AY15" s="5" t="s">
        <v>204</v>
      </c>
      <c r="AZ15" s="5">
        <v>0</v>
      </c>
      <c r="BA15" s="5" t="s">
        <v>204</v>
      </c>
      <c r="BB15" s="5">
        <v>4</v>
      </c>
      <c r="BC15" s="5" t="s">
        <v>435</v>
      </c>
      <c r="BD15" s="5">
        <v>0</v>
      </c>
      <c r="BE15" s="5" t="s">
        <v>204</v>
      </c>
      <c r="BF15" s="5">
        <v>0</v>
      </c>
      <c r="BG15" s="5" t="s">
        <v>204</v>
      </c>
      <c r="BH15" s="5">
        <v>0</v>
      </c>
      <c r="BI15" s="5" t="s">
        <v>204</v>
      </c>
      <c r="BJ15" s="5">
        <v>0</v>
      </c>
      <c r="BK15" s="5" t="s">
        <v>204</v>
      </c>
      <c r="BL15" s="5" t="s">
        <v>249</v>
      </c>
      <c r="BM15" s="5" t="s">
        <v>436</v>
      </c>
      <c r="BN15" s="5" t="s">
        <v>203</v>
      </c>
      <c r="BO15" s="5" t="s">
        <v>203</v>
      </c>
      <c r="BP15" s="5" t="s">
        <v>203</v>
      </c>
      <c r="BQ15" s="5" t="s">
        <v>208</v>
      </c>
      <c r="BR15" s="5" t="s">
        <v>203</v>
      </c>
      <c r="BS15" s="5" t="s">
        <v>203</v>
      </c>
      <c r="BT15" s="5" t="s">
        <v>203</v>
      </c>
      <c r="BU15" s="5" t="s">
        <v>204</v>
      </c>
      <c r="BV15" s="5">
        <f>COUNTIF(BN15:BT15, "yes")</f>
        <v>1</v>
      </c>
      <c r="BW15" s="5" t="s">
        <v>203</v>
      </c>
      <c r="BX15" s="5" t="s">
        <v>203</v>
      </c>
      <c r="BY15" s="5" t="s">
        <v>203</v>
      </c>
      <c r="BZ15" s="5" t="s">
        <v>204</v>
      </c>
      <c r="CA15" s="5">
        <f>COUNTIF(BW15:BY15, "yes")</f>
        <v>0</v>
      </c>
      <c r="CB15" s="5" t="s">
        <v>210</v>
      </c>
      <c r="CC15" s="5" t="s">
        <v>210</v>
      </c>
      <c r="CD15" s="5" t="s">
        <v>210</v>
      </c>
      <c r="CE15" s="5" t="s">
        <v>210</v>
      </c>
      <c r="CF15" s="5" t="s">
        <v>210</v>
      </c>
      <c r="CG15" s="5" t="s">
        <v>210</v>
      </c>
      <c r="CH15" s="5" t="s">
        <v>210</v>
      </c>
      <c r="CI15" s="5" t="s">
        <v>210</v>
      </c>
      <c r="CJ15" s="5" t="s">
        <v>204</v>
      </c>
      <c r="CK15" s="5">
        <f>COUNTIF(CB15:CI15, "yes")</f>
        <v>0</v>
      </c>
      <c r="CL15" s="5" t="s">
        <v>216</v>
      </c>
      <c r="CM15" s="5">
        <v>0</v>
      </c>
      <c r="CN15" s="5" t="s">
        <v>217</v>
      </c>
      <c r="CO15" s="5">
        <v>3</v>
      </c>
      <c r="CP15" s="5" t="s">
        <v>251</v>
      </c>
      <c r="CQ15" s="5">
        <v>0</v>
      </c>
      <c r="CR15" s="5" t="s">
        <v>217</v>
      </c>
      <c r="CS15" s="5">
        <v>1</v>
      </c>
      <c r="CT15" s="5" t="s">
        <v>251</v>
      </c>
      <c r="CU15" s="5">
        <v>0</v>
      </c>
      <c r="CV15" s="5" t="s">
        <v>217</v>
      </c>
      <c r="CW15" s="5">
        <v>1</v>
      </c>
      <c r="CX15" s="5" t="s">
        <v>252</v>
      </c>
      <c r="CY15" s="5">
        <v>0</v>
      </c>
      <c r="CZ15" s="5" t="s">
        <v>252</v>
      </c>
      <c r="DA15" s="5">
        <v>0</v>
      </c>
      <c r="DB15" s="5" t="s">
        <v>252</v>
      </c>
      <c r="DC15" s="5">
        <v>0</v>
      </c>
      <c r="DD15" s="5" t="s">
        <v>252</v>
      </c>
      <c r="DE15" s="5">
        <v>0</v>
      </c>
      <c r="DF15" s="5" t="s">
        <v>437</v>
      </c>
      <c r="DG15" s="5" t="s">
        <v>203</v>
      </c>
      <c r="DH15" s="5" t="s">
        <v>208</v>
      </c>
      <c r="DI15" s="5" t="s">
        <v>254</v>
      </c>
      <c r="DJ15" s="5" t="s">
        <v>254</v>
      </c>
      <c r="DK15" s="5" t="s">
        <v>254</v>
      </c>
      <c r="DL15" s="5" t="s">
        <v>254</v>
      </c>
      <c r="DM15" s="5" t="s">
        <v>200</v>
      </c>
      <c r="DN15" s="5" t="s">
        <v>438</v>
      </c>
      <c r="DO15" s="5" t="s">
        <v>204</v>
      </c>
      <c r="DP15" s="5" t="s">
        <v>221</v>
      </c>
      <c r="DQ15" s="5" t="s">
        <v>439</v>
      </c>
      <c r="DR15" s="5" t="s">
        <v>210</v>
      </c>
      <c r="DS15" s="5" t="s">
        <v>210</v>
      </c>
      <c r="DT15" s="5" t="s">
        <v>210</v>
      </c>
      <c r="DU15" s="5" t="s">
        <v>219</v>
      </c>
      <c r="DV15" s="5" t="s">
        <v>204</v>
      </c>
      <c r="DW15" s="5" t="s">
        <v>208</v>
      </c>
      <c r="DX15" s="5" t="s">
        <v>440</v>
      </c>
      <c r="DY15" s="5" t="s">
        <v>210</v>
      </c>
      <c r="DZ15" s="5" t="s">
        <v>221</v>
      </c>
      <c r="EA15" s="5" t="s">
        <v>441</v>
      </c>
      <c r="EB15" s="5" t="s">
        <v>210</v>
      </c>
      <c r="EC15" s="5" t="s">
        <v>210</v>
      </c>
      <c r="ED15" t="s">
        <v>210</v>
      </c>
      <c r="EE15" t="s">
        <v>219</v>
      </c>
      <c r="EF15" s="5" t="s">
        <v>204</v>
      </c>
      <c r="EG15" s="5" t="s">
        <v>210</v>
      </c>
      <c r="EH15" s="5" t="s">
        <v>210</v>
      </c>
      <c r="EI15" s="5" t="s">
        <v>210</v>
      </c>
      <c r="EJ15" s="5" t="s">
        <v>219</v>
      </c>
      <c r="EK15" s="5" t="s">
        <v>204</v>
      </c>
      <c r="EL15" s="5" t="s">
        <v>210</v>
      </c>
      <c r="EM15" s="5" t="s">
        <v>210</v>
      </c>
      <c r="EN15" s="5" t="s">
        <v>210</v>
      </c>
      <c r="EO15" s="5" t="s">
        <v>219</v>
      </c>
      <c r="EP15" s="5" t="s">
        <v>204</v>
      </c>
      <c r="EQ15" s="5" t="s">
        <v>208</v>
      </c>
      <c r="ER15" s="5" t="s">
        <v>442</v>
      </c>
      <c r="ES15" s="79">
        <v>4</v>
      </c>
      <c r="ET15" s="20" t="s">
        <v>292</v>
      </c>
      <c r="EU15" s="5" t="s">
        <v>443</v>
      </c>
      <c r="EV15" s="80" t="s">
        <v>371</v>
      </c>
      <c r="EW15" s="80" t="s">
        <v>204</v>
      </c>
      <c r="EX15" t="s">
        <v>204</v>
      </c>
      <c r="EY15" s="5" t="s">
        <v>227</v>
      </c>
      <c r="EZ15" s="5" t="s">
        <v>228</v>
      </c>
      <c r="FA15" s="5" t="s">
        <v>203</v>
      </c>
      <c r="FB15" t="s">
        <v>261</v>
      </c>
      <c r="FC15" s="5" t="s">
        <v>208</v>
      </c>
      <c r="FD15" s="5" t="s">
        <v>315</v>
      </c>
      <c r="FE15" s="5">
        <f>AMSTAR!BG13</f>
        <v>13</v>
      </c>
      <c r="FF15" s="5">
        <f>AMSTAR!BF13</f>
        <v>5</v>
      </c>
      <c r="FG15" s="34">
        <f t="shared" si="1"/>
        <v>0.38461538461538464</v>
      </c>
    </row>
    <row r="16" spans="1:163">
      <c r="A16" s="5"/>
      <c r="B16" s="12">
        <v>12018</v>
      </c>
      <c r="C16" s="14" t="s">
        <v>444</v>
      </c>
      <c r="D16" s="14">
        <v>2020</v>
      </c>
      <c r="E16" s="14" t="s">
        <v>445</v>
      </c>
      <c r="F16" s="14" t="s">
        <v>446</v>
      </c>
      <c r="G16" s="5" t="s">
        <v>447</v>
      </c>
      <c r="H16" s="5" t="s">
        <v>204</v>
      </c>
      <c r="I16" s="5">
        <v>10</v>
      </c>
      <c r="J16" s="5" t="s">
        <v>448</v>
      </c>
      <c r="K16" s="5" t="s">
        <v>208</v>
      </c>
      <c r="L16" s="5" t="s">
        <v>201</v>
      </c>
      <c r="M16" s="78">
        <v>43564</v>
      </c>
      <c r="N16" s="5" t="s">
        <v>202</v>
      </c>
      <c r="O16" s="82">
        <v>2019</v>
      </c>
      <c r="P16" s="5" t="s">
        <v>210</v>
      </c>
      <c r="Q16" s="5" t="s">
        <v>204</v>
      </c>
      <c r="R16" s="5" t="s">
        <v>449</v>
      </c>
      <c r="S16" s="5" t="s">
        <v>450</v>
      </c>
      <c r="T16" s="5" t="s">
        <v>207</v>
      </c>
      <c r="U16" s="5" t="s">
        <v>204</v>
      </c>
      <c r="V16" s="5" t="s">
        <v>208</v>
      </c>
      <c r="W16" s="5" t="s">
        <v>208</v>
      </c>
      <c r="X16" s="5">
        <v>30</v>
      </c>
      <c r="Y16" s="5">
        <v>30</v>
      </c>
      <c r="Z16" s="5">
        <v>11</v>
      </c>
      <c r="AA16" s="5" t="s">
        <v>204</v>
      </c>
      <c r="AB16" s="5">
        <v>992</v>
      </c>
      <c r="AC16" s="5">
        <v>557</v>
      </c>
      <c r="AD16" s="5">
        <v>355</v>
      </c>
      <c r="AE16" s="5" t="s">
        <v>209</v>
      </c>
      <c r="AF16" s="5" t="s">
        <v>209</v>
      </c>
      <c r="AG16" s="83" t="s">
        <v>451</v>
      </c>
      <c r="AH16" s="5" t="s">
        <v>452</v>
      </c>
      <c r="AI16" s="5">
        <f t="shared" si="2"/>
        <v>1</v>
      </c>
      <c r="AJ16" s="5" t="s">
        <v>203</v>
      </c>
      <c r="AK16" s="5" t="s">
        <v>204</v>
      </c>
      <c r="AL16" s="5" t="s">
        <v>203</v>
      </c>
      <c r="AM16" s="5" t="s">
        <v>204</v>
      </c>
      <c r="AN16" s="5" t="s">
        <v>208</v>
      </c>
      <c r="AO16" s="5" t="s">
        <v>453</v>
      </c>
      <c r="AP16" s="5" t="s">
        <v>208</v>
      </c>
      <c r="AQ16" s="5" t="s">
        <v>203</v>
      </c>
      <c r="AR16" s="5" t="s">
        <v>203</v>
      </c>
      <c r="AS16" s="5" t="s">
        <v>203</v>
      </c>
      <c r="AT16" s="5" t="s">
        <v>203</v>
      </c>
      <c r="AU16" s="5">
        <v>0</v>
      </c>
      <c r="AV16" s="5">
        <v>0</v>
      </c>
      <c r="AW16" s="5" t="s">
        <v>204</v>
      </c>
      <c r="AX16" s="5">
        <v>0</v>
      </c>
      <c r="AY16" s="5" t="s">
        <v>204</v>
      </c>
      <c r="AZ16" s="5">
        <v>0</v>
      </c>
      <c r="BA16" s="5" t="s">
        <v>204</v>
      </c>
      <c r="BB16" s="5">
        <v>0</v>
      </c>
      <c r="BC16" s="5" t="s">
        <v>204</v>
      </c>
      <c r="BD16" s="5">
        <v>0</v>
      </c>
      <c r="BE16" s="5" t="s">
        <v>204</v>
      </c>
      <c r="BF16" s="5">
        <v>0</v>
      </c>
      <c r="BG16" s="5" t="s">
        <v>204</v>
      </c>
      <c r="BH16" s="5">
        <v>11</v>
      </c>
      <c r="BI16" s="5" t="s">
        <v>248</v>
      </c>
      <c r="BJ16" s="5">
        <v>0</v>
      </c>
      <c r="BK16" s="5" t="s">
        <v>204</v>
      </c>
      <c r="BL16" s="5" t="s">
        <v>249</v>
      </c>
      <c r="BM16" t="s">
        <v>454</v>
      </c>
      <c r="BN16" s="5" t="s">
        <v>210</v>
      </c>
      <c r="BO16" s="5" t="s">
        <v>203</v>
      </c>
      <c r="BP16" s="5" t="s">
        <v>203</v>
      </c>
      <c r="BQ16" s="5" t="s">
        <v>203</v>
      </c>
      <c r="BR16" s="5" t="s">
        <v>203</v>
      </c>
      <c r="BS16" s="5" t="s">
        <v>200</v>
      </c>
      <c r="BT16" s="5" t="s">
        <v>203</v>
      </c>
      <c r="BU16" s="5" t="s">
        <v>204</v>
      </c>
      <c r="BV16" s="5">
        <f>COUNTIF(BN16:BT16, "yes")</f>
        <v>1</v>
      </c>
      <c r="BW16" s="5" t="s">
        <v>210</v>
      </c>
      <c r="BX16" s="5" t="s">
        <v>210</v>
      </c>
      <c r="BY16" s="5" t="s">
        <v>210</v>
      </c>
      <c r="BZ16" s="5" t="s">
        <v>204</v>
      </c>
      <c r="CA16" s="5">
        <f>COUNTIF(BW16:BY16, "yes")</f>
        <v>0</v>
      </c>
      <c r="CB16" s="5" t="s">
        <v>210</v>
      </c>
      <c r="CC16" s="5" t="s">
        <v>210</v>
      </c>
      <c r="CD16" s="5" t="s">
        <v>210</v>
      </c>
      <c r="CE16" s="5" t="s">
        <v>210</v>
      </c>
      <c r="CF16" s="5" t="s">
        <v>210</v>
      </c>
      <c r="CG16" s="5" t="s">
        <v>210</v>
      </c>
      <c r="CH16" s="5" t="s">
        <v>210</v>
      </c>
      <c r="CI16" s="5" t="s">
        <v>210</v>
      </c>
      <c r="CJ16" s="5" t="s">
        <v>204</v>
      </c>
      <c r="CK16" s="5">
        <f>COUNTIF(CB16:CI16, "yes")</f>
        <v>0</v>
      </c>
      <c r="CL16" s="5" t="s">
        <v>216</v>
      </c>
      <c r="CM16" s="5">
        <v>0</v>
      </c>
      <c r="CN16" s="5" t="s">
        <v>217</v>
      </c>
      <c r="CO16" s="5">
        <v>11</v>
      </c>
      <c r="CP16" s="5" t="s">
        <v>216</v>
      </c>
      <c r="CQ16" s="5">
        <v>0</v>
      </c>
      <c r="CR16" s="5" t="s">
        <v>216</v>
      </c>
      <c r="CS16" s="5">
        <v>0</v>
      </c>
      <c r="CT16" s="5" t="s">
        <v>216</v>
      </c>
      <c r="CU16" s="5">
        <v>0</v>
      </c>
      <c r="CV16" s="5" t="s">
        <v>216</v>
      </c>
      <c r="CW16" s="5">
        <v>0</v>
      </c>
      <c r="CX16" s="5" t="s">
        <v>216</v>
      </c>
      <c r="CY16" s="5">
        <v>0</v>
      </c>
      <c r="CZ16" s="5" t="s">
        <v>216</v>
      </c>
      <c r="DA16" s="5">
        <v>0</v>
      </c>
      <c r="DB16" s="5" t="s">
        <v>216</v>
      </c>
      <c r="DC16" s="5">
        <v>0</v>
      </c>
      <c r="DD16" s="5" t="s">
        <v>216</v>
      </c>
      <c r="DE16" s="5">
        <v>0</v>
      </c>
      <c r="DF16" s="5" t="s">
        <v>455</v>
      </c>
      <c r="DG16" s="5" t="s">
        <v>203</v>
      </c>
      <c r="DH16" s="5" t="s">
        <v>203</v>
      </c>
      <c r="DI16" s="5" t="s">
        <v>203</v>
      </c>
      <c r="DJ16" s="5" t="s">
        <v>208</v>
      </c>
      <c r="DK16" s="5" t="s">
        <v>210</v>
      </c>
      <c r="DL16" s="5" t="s">
        <v>200</v>
      </c>
      <c r="DM16" s="5" t="s">
        <v>210</v>
      </c>
      <c r="DN16" s="5" t="s">
        <v>204</v>
      </c>
      <c r="DO16" s="5" t="s">
        <v>204</v>
      </c>
      <c r="DP16" s="5" t="s">
        <v>219</v>
      </c>
      <c r="DQ16" s="5" t="s">
        <v>204</v>
      </c>
      <c r="DR16" s="5" t="s">
        <v>210</v>
      </c>
      <c r="DS16" s="5" t="s">
        <v>210</v>
      </c>
      <c r="DT16" s="5" t="s">
        <v>210</v>
      </c>
      <c r="DU16" s="5" t="s">
        <v>219</v>
      </c>
      <c r="DV16" s="5" t="s">
        <v>204</v>
      </c>
      <c r="DW16" s="5" t="s">
        <v>208</v>
      </c>
      <c r="DX16" s="5" t="s">
        <v>456</v>
      </c>
      <c r="DY16" s="5" t="s">
        <v>457</v>
      </c>
      <c r="DZ16" s="5" t="s">
        <v>221</v>
      </c>
      <c r="EA16" s="5" t="s">
        <v>458</v>
      </c>
      <c r="EB16" s="5" t="s">
        <v>210</v>
      </c>
      <c r="EC16" s="5" t="s">
        <v>210</v>
      </c>
      <c r="ED16" s="5" t="s">
        <v>210</v>
      </c>
      <c r="EE16" s="5" t="s">
        <v>219</v>
      </c>
      <c r="EF16" s="5" t="s">
        <v>204</v>
      </c>
      <c r="EG16" s="5" t="s">
        <v>210</v>
      </c>
      <c r="EH16" s="5" t="s">
        <v>210</v>
      </c>
      <c r="EI16" s="5" t="s">
        <v>210</v>
      </c>
      <c r="EJ16" s="5" t="s">
        <v>219</v>
      </c>
      <c r="EK16" s="5" t="s">
        <v>204</v>
      </c>
      <c r="EL16" s="5" t="s">
        <v>208</v>
      </c>
      <c r="EM16" s="5" t="s">
        <v>459</v>
      </c>
      <c r="EN16" s="5" t="s">
        <v>460</v>
      </c>
      <c r="EO16" s="5" t="s">
        <v>221</v>
      </c>
      <c r="EP16" s="5" t="s">
        <v>461</v>
      </c>
      <c r="EQ16" s="5" t="s">
        <v>208</v>
      </c>
      <c r="ER16" s="5" t="s">
        <v>462</v>
      </c>
      <c r="ES16" s="79">
        <v>10</v>
      </c>
      <c r="ET16" s="20" t="s">
        <v>292</v>
      </c>
      <c r="EU16" s="5" t="s">
        <v>463</v>
      </c>
      <c r="EV16" s="80" t="s">
        <v>208</v>
      </c>
      <c r="EW16" s="80" t="s">
        <v>203</v>
      </c>
      <c r="EX16" s="80" t="s">
        <v>464</v>
      </c>
      <c r="EY16" s="5" t="s">
        <v>227</v>
      </c>
      <c r="EZ16" s="5" t="s">
        <v>420</v>
      </c>
      <c r="FA16" s="5" t="s">
        <v>208</v>
      </c>
      <c r="FB16" s="5" t="s">
        <v>465</v>
      </c>
      <c r="FC16" s="5" t="s">
        <v>208</v>
      </c>
      <c r="FD16" s="5" t="s">
        <v>315</v>
      </c>
      <c r="FE16" s="5">
        <f>AMSTAR!BG14</f>
        <v>16</v>
      </c>
      <c r="FF16" s="5">
        <f>AMSTAR!BF14</f>
        <v>13.5</v>
      </c>
      <c r="FG16" s="34">
        <f t="shared" si="1"/>
        <v>0.84375</v>
      </c>
    </row>
    <row r="17" spans="1:163">
      <c r="A17" s="5"/>
      <c r="B17" s="12">
        <v>10809</v>
      </c>
      <c r="C17" s="14" t="s">
        <v>466</v>
      </c>
      <c r="D17" s="14">
        <v>2020</v>
      </c>
      <c r="E17" s="14" t="s">
        <v>467</v>
      </c>
      <c r="F17" s="14" t="s">
        <v>233</v>
      </c>
      <c r="G17" s="5" t="s">
        <v>468</v>
      </c>
      <c r="H17" s="5" t="s">
        <v>198</v>
      </c>
      <c r="I17" s="5">
        <v>5</v>
      </c>
      <c r="J17" s="5" t="s">
        <v>469</v>
      </c>
      <c r="K17" s="5" t="s">
        <v>208</v>
      </c>
      <c r="L17" s="5" t="s">
        <v>236</v>
      </c>
      <c r="M17" s="78">
        <v>43472</v>
      </c>
      <c r="N17" s="5">
        <v>2000</v>
      </c>
      <c r="O17" s="5">
        <v>2019</v>
      </c>
      <c r="P17" s="5" t="s">
        <v>210</v>
      </c>
      <c r="Q17" s="5" t="s">
        <v>204</v>
      </c>
      <c r="R17" s="5" t="s">
        <v>470</v>
      </c>
      <c r="S17" s="5" t="s">
        <v>471</v>
      </c>
      <c r="T17" s="5" t="s">
        <v>241</v>
      </c>
      <c r="U17" s="5" t="s">
        <v>472</v>
      </c>
      <c r="V17" s="5" t="s">
        <v>208</v>
      </c>
      <c r="W17" s="5" t="s">
        <v>210</v>
      </c>
      <c r="X17" s="5">
        <v>7</v>
      </c>
      <c r="Y17" s="5">
        <v>7</v>
      </c>
      <c r="Z17" s="5">
        <v>6</v>
      </c>
      <c r="AA17" s="5" t="s">
        <v>473</v>
      </c>
      <c r="AB17" s="5">
        <v>191</v>
      </c>
      <c r="AC17" s="5" t="s">
        <v>209</v>
      </c>
      <c r="AD17" s="5" t="s">
        <v>209</v>
      </c>
      <c r="AE17" s="5" t="s">
        <v>209</v>
      </c>
      <c r="AF17" s="5" t="s">
        <v>209</v>
      </c>
      <c r="AG17" s="5" t="s">
        <v>209</v>
      </c>
      <c r="AH17" s="5" t="s">
        <v>474</v>
      </c>
      <c r="AI17" s="5">
        <f t="shared" si="2"/>
        <v>2</v>
      </c>
      <c r="AJ17" s="5" t="s">
        <v>208</v>
      </c>
      <c r="AK17" s="5" t="s">
        <v>475</v>
      </c>
      <c r="AL17" s="5" t="s">
        <v>203</v>
      </c>
      <c r="AM17" s="5" t="s">
        <v>204</v>
      </c>
      <c r="AN17" s="5" t="s">
        <v>200</v>
      </c>
      <c r="AO17" s="5" t="s">
        <v>476</v>
      </c>
      <c r="AP17" s="5" t="s">
        <v>208</v>
      </c>
      <c r="AQ17" s="5" t="s">
        <v>203</v>
      </c>
      <c r="AR17" s="5" t="s">
        <v>203</v>
      </c>
      <c r="AS17" s="5" t="s">
        <v>208</v>
      </c>
      <c r="AT17" s="5" t="s">
        <v>203</v>
      </c>
      <c r="AU17" s="5" t="s">
        <v>372</v>
      </c>
      <c r="AV17" s="5" t="s">
        <v>209</v>
      </c>
      <c r="AW17" s="5" t="s">
        <v>204</v>
      </c>
      <c r="AX17" s="5" t="s">
        <v>372</v>
      </c>
      <c r="AY17" s="5" t="s">
        <v>204</v>
      </c>
      <c r="AZ17" s="5" t="s">
        <v>372</v>
      </c>
      <c r="BA17" s="5" t="s">
        <v>204</v>
      </c>
      <c r="BB17" s="5" t="s">
        <v>372</v>
      </c>
      <c r="BC17" s="5" t="s">
        <v>204</v>
      </c>
      <c r="BD17" s="5" t="s">
        <v>372</v>
      </c>
      <c r="BE17" s="5" t="s">
        <v>204</v>
      </c>
      <c r="BF17" s="5" t="s">
        <v>372</v>
      </c>
      <c r="BG17" s="5" t="s">
        <v>204</v>
      </c>
      <c r="BH17" s="5" t="s">
        <v>372</v>
      </c>
      <c r="BI17" s="5" t="s">
        <v>204</v>
      </c>
      <c r="BJ17" s="5" t="s">
        <v>372</v>
      </c>
      <c r="BK17" s="5" t="s">
        <v>204</v>
      </c>
      <c r="BL17" s="5" t="s">
        <v>249</v>
      </c>
      <c r="BM17" s="5" t="s">
        <v>477</v>
      </c>
      <c r="BN17" s="5" t="s">
        <v>200</v>
      </c>
      <c r="BO17" s="5" t="s">
        <v>200</v>
      </c>
      <c r="BP17" s="5" t="s">
        <v>203</v>
      </c>
      <c r="BQ17" s="5" t="s">
        <v>203</v>
      </c>
      <c r="BR17" s="5" t="s">
        <v>203</v>
      </c>
      <c r="BS17" s="5" t="s">
        <v>203</v>
      </c>
      <c r="BT17" s="5" t="s">
        <v>203</v>
      </c>
      <c r="BU17" s="5" t="s">
        <v>204</v>
      </c>
      <c r="BV17" s="5">
        <f>COUNTIF(BN17:BT17, "yes")</f>
        <v>2</v>
      </c>
      <c r="BW17" s="5" t="s">
        <v>210</v>
      </c>
      <c r="BX17" s="5" t="s">
        <v>210</v>
      </c>
      <c r="BY17" s="5" t="s">
        <v>210</v>
      </c>
      <c r="BZ17" s="5" t="s">
        <v>204</v>
      </c>
      <c r="CA17" s="5">
        <f>COUNTIF(BW17:BY17, "yes")</f>
        <v>0</v>
      </c>
      <c r="CB17" s="5" t="s">
        <v>210</v>
      </c>
      <c r="CC17" s="5" t="s">
        <v>210</v>
      </c>
      <c r="CD17" s="5" t="s">
        <v>210</v>
      </c>
      <c r="CE17" s="5" t="s">
        <v>210</v>
      </c>
      <c r="CF17" s="5" t="s">
        <v>210</v>
      </c>
      <c r="CG17" s="5" t="s">
        <v>210</v>
      </c>
      <c r="CH17" s="5" t="s">
        <v>210</v>
      </c>
      <c r="CI17" s="5" t="s">
        <v>210</v>
      </c>
      <c r="CJ17" s="5" t="s">
        <v>204</v>
      </c>
      <c r="CK17" s="5">
        <f>COUNTIF(CB17:CI17, "yes")</f>
        <v>0</v>
      </c>
      <c r="CL17" s="5" t="s">
        <v>216</v>
      </c>
      <c r="CM17" s="5">
        <v>0</v>
      </c>
      <c r="CN17" s="5" t="s">
        <v>217</v>
      </c>
      <c r="CO17" s="5">
        <v>2</v>
      </c>
      <c r="CP17" s="5" t="s">
        <v>251</v>
      </c>
      <c r="CQ17" s="5">
        <v>0</v>
      </c>
      <c r="CR17" s="5" t="s">
        <v>217</v>
      </c>
      <c r="CS17" s="5">
        <v>3</v>
      </c>
      <c r="CT17" s="5" t="s">
        <v>251</v>
      </c>
      <c r="CU17" s="5">
        <v>0</v>
      </c>
      <c r="CV17" s="5" t="s">
        <v>217</v>
      </c>
      <c r="CW17" s="5">
        <v>1</v>
      </c>
      <c r="CX17" s="5" t="s">
        <v>252</v>
      </c>
      <c r="CY17" s="5">
        <v>0</v>
      </c>
      <c r="CZ17" s="5" t="s">
        <v>252</v>
      </c>
      <c r="DA17" s="5">
        <v>0</v>
      </c>
      <c r="DB17" s="5" t="s">
        <v>252</v>
      </c>
      <c r="DC17" s="5">
        <v>0</v>
      </c>
      <c r="DD17" s="5" t="s">
        <v>216</v>
      </c>
      <c r="DE17" s="5" t="s">
        <v>204</v>
      </c>
      <c r="DF17" s="5" t="s">
        <v>478</v>
      </c>
      <c r="DG17" s="5" t="s">
        <v>203</v>
      </c>
      <c r="DH17" s="5" t="s">
        <v>200</v>
      </c>
      <c r="DI17" s="5" t="s">
        <v>200</v>
      </c>
      <c r="DJ17" s="5" t="s">
        <v>210</v>
      </c>
      <c r="DK17" s="5" t="s">
        <v>203</v>
      </c>
      <c r="DL17" s="5" t="s">
        <v>200</v>
      </c>
      <c r="DM17" s="5" t="s">
        <v>200</v>
      </c>
      <c r="DN17" s="5" t="s">
        <v>479</v>
      </c>
      <c r="DO17" s="5" t="s">
        <v>204</v>
      </c>
      <c r="DP17" s="5" t="s">
        <v>221</v>
      </c>
      <c r="DQ17" s="5" t="s">
        <v>480</v>
      </c>
      <c r="DR17" s="5" t="s">
        <v>210</v>
      </c>
      <c r="DS17" s="5" t="s">
        <v>210</v>
      </c>
      <c r="DT17" s="5" t="s">
        <v>210</v>
      </c>
      <c r="DU17" s="5" t="s">
        <v>219</v>
      </c>
      <c r="DV17" s="5" t="s">
        <v>204</v>
      </c>
      <c r="DW17" s="5" t="s">
        <v>200</v>
      </c>
      <c r="DX17" s="5" t="s">
        <v>481</v>
      </c>
      <c r="DY17" s="5" t="s">
        <v>210</v>
      </c>
      <c r="DZ17" s="5" t="s">
        <v>311</v>
      </c>
      <c r="EA17" s="5" t="s">
        <v>482</v>
      </c>
      <c r="EB17" s="5" t="s">
        <v>210</v>
      </c>
      <c r="EC17" s="5" t="s">
        <v>210</v>
      </c>
      <c r="ED17" s="5" t="s">
        <v>210</v>
      </c>
      <c r="EE17" s="5" t="s">
        <v>219</v>
      </c>
      <c r="EF17" s="5" t="s">
        <v>204</v>
      </c>
      <c r="EG17" s="5" t="s">
        <v>210</v>
      </c>
      <c r="EH17" s="5" t="s">
        <v>210</v>
      </c>
      <c r="EI17" s="5" t="s">
        <v>210</v>
      </c>
      <c r="EJ17" s="5" t="s">
        <v>219</v>
      </c>
      <c r="EK17" s="5" t="s">
        <v>204</v>
      </c>
      <c r="EL17" s="5" t="s">
        <v>208</v>
      </c>
      <c r="EM17" s="5" t="s">
        <v>483</v>
      </c>
      <c r="EN17" s="5" t="s">
        <v>210</v>
      </c>
      <c r="EO17" s="5" t="s">
        <v>221</v>
      </c>
      <c r="EP17" s="5" t="s">
        <v>204</v>
      </c>
      <c r="EQ17" s="5" t="s">
        <v>203</v>
      </c>
      <c r="ER17" s="5" t="s">
        <v>204</v>
      </c>
      <c r="ES17" s="79" t="s">
        <v>204</v>
      </c>
      <c r="ET17" s="20" t="s">
        <v>261</v>
      </c>
      <c r="EU17" s="5" t="s">
        <v>204</v>
      </c>
      <c r="EV17" s="80" t="s">
        <v>371</v>
      </c>
      <c r="EW17" s="80" t="s">
        <v>371</v>
      </c>
      <c r="EX17" s="5" t="s">
        <v>204</v>
      </c>
      <c r="EY17" s="5" t="s">
        <v>227</v>
      </c>
      <c r="EZ17" s="5" t="s">
        <v>420</v>
      </c>
      <c r="FA17" s="5" t="s">
        <v>208</v>
      </c>
      <c r="FB17" s="5" t="s">
        <v>484</v>
      </c>
      <c r="FC17" s="5" t="s">
        <v>208</v>
      </c>
      <c r="FD17" s="5" t="s">
        <v>485</v>
      </c>
      <c r="FE17" s="5">
        <f>AMSTAR!BG15</f>
        <v>13</v>
      </c>
      <c r="FF17" s="5">
        <f>AMSTAR!BF15</f>
        <v>2.5</v>
      </c>
      <c r="FG17" s="34">
        <f t="shared" si="1"/>
        <v>0.19230769230769232</v>
      </c>
    </row>
    <row r="18" spans="1:163">
      <c r="A18" s="5"/>
      <c r="B18" s="14"/>
      <c r="C18" s="86" t="s">
        <v>486</v>
      </c>
      <c r="D18" s="14">
        <v>2020</v>
      </c>
      <c r="E18" s="87" t="s">
        <v>487</v>
      </c>
      <c r="F18" s="14" t="s">
        <v>488</v>
      </c>
      <c r="G18" s="5" t="s">
        <v>489</v>
      </c>
      <c r="H18" s="5" t="s">
        <v>490</v>
      </c>
      <c r="I18" s="5">
        <v>10</v>
      </c>
      <c r="J18" s="5" t="s">
        <v>491</v>
      </c>
      <c r="K18" s="5" t="s">
        <v>200</v>
      </c>
      <c r="L18" s="5" t="s">
        <v>236</v>
      </c>
      <c r="M18" s="5" t="s">
        <v>492</v>
      </c>
      <c r="N18" s="5" t="s">
        <v>202</v>
      </c>
      <c r="O18" s="5">
        <v>2019</v>
      </c>
      <c r="P18" s="5" t="s">
        <v>208</v>
      </c>
      <c r="Q18" s="5" t="s">
        <v>493</v>
      </c>
      <c r="R18" s="5" t="s">
        <v>494</v>
      </c>
      <c r="S18" s="5" t="s">
        <v>495</v>
      </c>
      <c r="T18" s="5" t="s">
        <v>496</v>
      </c>
      <c r="U18" s="5" t="s">
        <v>497</v>
      </c>
      <c r="V18" s="5" t="s">
        <v>200</v>
      </c>
      <c r="W18" s="5" t="s">
        <v>210</v>
      </c>
      <c r="X18" s="5">
        <v>102</v>
      </c>
      <c r="Y18" s="5">
        <v>102</v>
      </c>
      <c r="Z18" s="5">
        <v>6</v>
      </c>
      <c r="AA18" s="5" t="s">
        <v>498</v>
      </c>
      <c r="AB18" s="5">
        <v>160</v>
      </c>
      <c r="AC18" s="5" t="s">
        <v>209</v>
      </c>
      <c r="AD18" s="5" t="s">
        <v>209</v>
      </c>
      <c r="AE18" s="5" t="s">
        <v>209</v>
      </c>
      <c r="AF18" s="5" t="s">
        <v>209</v>
      </c>
      <c r="AG18" s="5" t="s">
        <v>209</v>
      </c>
      <c r="AH18" s="5" t="s">
        <v>204</v>
      </c>
      <c r="AI18" s="5">
        <f t="shared" si="2"/>
        <v>1</v>
      </c>
      <c r="AJ18" s="5" t="s">
        <v>210</v>
      </c>
      <c r="AK18" s="5" t="s">
        <v>204</v>
      </c>
      <c r="AL18" s="5" t="s">
        <v>210</v>
      </c>
      <c r="AM18" s="5" t="s">
        <v>204</v>
      </c>
      <c r="AN18" s="5" t="s">
        <v>200</v>
      </c>
      <c r="AO18" s="5" t="s">
        <v>499</v>
      </c>
      <c r="AP18" s="5" t="s">
        <v>254</v>
      </c>
      <c r="AQ18" s="5" t="s">
        <v>254</v>
      </c>
      <c r="AR18" s="5" t="s">
        <v>254</v>
      </c>
      <c r="AS18" s="5" t="s">
        <v>254</v>
      </c>
      <c r="AT18" s="5" t="s">
        <v>254</v>
      </c>
      <c r="AU18" s="5">
        <v>0</v>
      </c>
      <c r="AV18" s="5">
        <v>1</v>
      </c>
      <c r="AW18" s="5" t="s">
        <v>434</v>
      </c>
      <c r="AX18" s="5">
        <v>0</v>
      </c>
      <c r="AY18" s="5" t="s">
        <v>204</v>
      </c>
      <c r="AZ18" s="5">
        <v>0</v>
      </c>
      <c r="BA18" s="5" t="s">
        <v>204</v>
      </c>
      <c r="BB18" s="5">
        <v>5</v>
      </c>
      <c r="BC18" s="5" t="s">
        <v>500</v>
      </c>
      <c r="BD18" s="5">
        <v>0</v>
      </c>
      <c r="BE18" s="5" t="s">
        <v>204</v>
      </c>
      <c r="BF18" s="5">
        <v>0</v>
      </c>
      <c r="BG18" s="5" t="s">
        <v>204</v>
      </c>
      <c r="BH18" s="5">
        <v>0</v>
      </c>
      <c r="BI18" s="5" t="s">
        <v>204</v>
      </c>
      <c r="BJ18" s="5">
        <v>0</v>
      </c>
      <c r="BK18" s="5" t="s">
        <v>204</v>
      </c>
      <c r="BL18" s="5" t="s">
        <v>214</v>
      </c>
      <c r="BM18" s="5" t="s">
        <v>501</v>
      </c>
      <c r="BN18" s="5" t="s">
        <v>210</v>
      </c>
      <c r="BO18" s="5" t="s">
        <v>210</v>
      </c>
      <c r="BP18" s="5" t="s">
        <v>210</v>
      </c>
      <c r="BQ18" s="5" t="s">
        <v>210</v>
      </c>
      <c r="BR18" s="5" t="s">
        <v>210</v>
      </c>
      <c r="BS18" s="5" t="s">
        <v>200</v>
      </c>
      <c r="BT18" s="5" t="s">
        <v>210</v>
      </c>
      <c r="BU18" s="5" t="s">
        <v>204</v>
      </c>
      <c r="BV18" s="5">
        <f>COUNTIF(BN18:BT18, "yes")</f>
        <v>1</v>
      </c>
      <c r="BW18" s="5" t="s">
        <v>210</v>
      </c>
      <c r="BX18" s="5" t="s">
        <v>210</v>
      </c>
      <c r="BY18" s="5" t="s">
        <v>210</v>
      </c>
      <c r="BZ18" s="5" t="s">
        <v>204</v>
      </c>
      <c r="CA18" s="5">
        <f>COUNTIF(BW18:BY18, "yes")</f>
        <v>0</v>
      </c>
      <c r="CB18" s="5" t="s">
        <v>210</v>
      </c>
      <c r="CC18" s="5" t="s">
        <v>254</v>
      </c>
      <c r="CD18" s="5" t="s">
        <v>200</v>
      </c>
      <c r="CE18" s="5" t="s">
        <v>210</v>
      </c>
      <c r="CF18" s="5" t="s">
        <v>210</v>
      </c>
      <c r="CG18" s="5" t="s">
        <v>210</v>
      </c>
      <c r="CH18" s="5" t="s">
        <v>210</v>
      </c>
      <c r="CI18" s="5" t="s">
        <v>210</v>
      </c>
      <c r="CJ18" s="5" t="s">
        <v>204</v>
      </c>
      <c r="CK18" s="5">
        <f>COUNTIF(CB18:CI18, "yes")</f>
        <v>1</v>
      </c>
      <c r="CL18" s="5" t="s">
        <v>502</v>
      </c>
      <c r="CM18" s="5" t="s">
        <v>254</v>
      </c>
      <c r="CN18" s="5" t="s">
        <v>502</v>
      </c>
      <c r="CO18" s="5" t="s">
        <v>254</v>
      </c>
      <c r="CP18" s="5" t="s">
        <v>502</v>
      </c>
      <c r="CQ18" s="5" t="s">
        <v>254</v>
      </c>
      <c r="CR18" s="5" t="s">
        <v>502</v>
      </c>
      <c r="CS18" s="5" t="s">
        <v>254</v>
      </c>
      <c r="CT18" s="5" t="s">
        <v>502</v>
      </c>
      <c r="CU18" s="5" t="s">
        <v>254</v>
      </c>
      <c r="CV18" s="5" t="s">
        <v>502</v>
      </c>
      <c r="CW18" s="88" t="s">
        <v>254</v>
      </c>
      <c r="CX18" s="5" t="s">
        <v>502</v>
      </c>
      <c r="CY18" s="5" t="s">
        <v>254</v>
      </c>
      <c r="CZ18" s="5" t="s">
        <v>502</v>
      </c>
      <c r="DA18" s="5" t="s">
        <v>254</v>
      </c>
      <c r="DB18" s="5" t="s">
        <v>502</v>
      </c>
      <c r="DC18" s="5" t="s">
        <v>254</v>
      </c>
      <c r="DD18" s="5" t="s">
        <v>502</v>
      </c>
      <c r="DE18" s="5" t="s">
        <v>254</v>
      </c>
      <c r="DF18" s="5" t="s">
        <v>254</v>
      </c>
      <c r="DG18" s="5" t="s">
        <v>254</v>
      </c>
      <c r="DH18" s="5" t="s">
        <v>254</v>
      </c>
      <c r="DI18" s="5" t="s">
        <v>254</v>
      </c>
      <c r="DJ18" s="5" t="s">
        <v>254</v>
      </c>
      <c r="DK18" s="5" t="s">
        <v>254</v>
      </c>
      <c r="DL18" s="5" t="s">
        <v>254</v>
      </c>
      <c r="DM18" s="5" t="s">
        <v>203</v>
      </c>
      <c r="DN18" s="5" t="s">
        <v>204</v>
      </c>
      <c r="DO18" s="5" t="s">
        <v>210</v>
      </c>
      <c r="DP18" s="5" t="s">
        <v>219</v>
      </c>
      <c r="DQ18" s="5" t="s">
        <v>204</v>
      </c>
      <c r="DR18" s="5" t="s">
        <v>203</v>
      </c>
      <c r="DS18" s="5" t="s">
        <v>204</v>
      </c>
      <c r="DT18" s="5" t="s">
        <v>210</v>
      </c>
      <c r="DU18" s="5" t="s">
        <v>219</v>
      </c>
      <c r="DV18" s="5" t="s">
        <v>204</v>
      </c>
      <c r="DW18" s="5" t="s">
        <v>200</v>
      </c>
      <c r="DX18" s="5" t="s">
        <v>503</v>
      </c>
      <c r="DY18" s="5" t="s">
        <v>210</v>
      </c>
      <c r="DZ18" s="5" t="s">
        <v>221</v>
      </c>
      <c r="EA18" s="5" t="s">
        <v>504</v>
      </c>
      <c r="EB18" s="5" t="s">
        <v>200</v>
      </c>
      <c r="EC18" s="5" t="s">
        <v>505</v>
      </c>
      <c r="ED18" s="5" t="s">
        <v>210</v>
      </c>
      <c r="EE18" s="5" t="s">
        <v>221</v>
      </c>
      <c r="EF18" s="5" t="s">
        <v>504</v>
      </c>
      <c r="EG18" s="5" t="s">
        <v>200</v>
      </c>
      <c r="EH18" s="5" t="s">
        <v>506</v>
      </c>
      <c r="EI18" s="5" t="s">
        <v>210</v>
      </c>
      <c r="EJ18" s="5" t="s">
        <v>221</v>
      </c>
      <c r="EK18" s="5" t="s">
        <v>204</v>
      </c>
      <c r="EL18" s="5" t="s">
        <v>200</v>
      </c>
      <c r="EM18" s="5" t="s">
        <v>507</v>
      </c>
      <c r="EN18" s="5" t="s">
        <v>210</v>
      </c>
      <c r="EO18" s="5" t="s">
        <v>221</v>
      </c>
      <c r="EP18" s="5" t="s">
        <v>508</v>
      </c>
      <c r="EQ18" s="5" t="s">
        <v>203</v>
      </c>
      <c r="ER18" s="5" t="s">
        <v>204</v>
      </c>
      <c r="ES18" s="79" t="s">
        <v>204</v>
      </c>
      <c r="ET18" s="20" t="s">
        <v>261</v>
      </c>
      <c r="EU18" s="5" t="s">
        <v>204</v>
      </c>
      <c r="EV18" s="80" t="s">
        <v>371</v>
      </c>
      <c r="EW18" s="5" t="s">
        <v>371</v>
      </c>
      <c r="EX18" s="5" t="s">
        <v>371</v>
      </c>
      <c r="EY18" s="5" t="s">
        <v>262</v>
      </c>
      <c r="EZ18" s="5" t="s">
        <v>228</v>
      </c>
      <c r="FA18" s="5" t="s">
        <v>203</v>
      </c>
      <c r="FB18" s="5" t="s">
        <v>261</v>
      </c>
      <c r="FC18" s="5" t="s">
        <v>200</v>
      </c>
      <c r="FD18" s="5" t="s">
        <v>315</v>
      </c>
      <c r="FE18" s="5">
        <f>AMSTAR!BG16</f>
        <v>13</v>
      </c>
      <c r="FF18" s="5">
        <f>AMSTAR!BF16</f>
        <v>5.5</v>
      </c>
      <c r="FG18" s="34">
        <f t="shared" si="1"/>
        <v>0.42307692307692307</v>
      </c>
    </row>
    <row r="19" spans="1:163">
      <c r="A19" s="5"/>
      <c r="B19" s="12">
        <v>5296</v>
      </c>
      <c r="C19" s="14" t="s">
        <v>509</v>
      </c>
      <c r="D19" s="14">
        <v>2015</v>
      </c>
      <c r="E19" s="14" t="s">
        <v>510</v>
      </c>
      <c r="F19" s="14" t="s">
        <v>233</v>
      </c>
      <c r="G19" s="5" t="s">
        <v>511</v>
      </c>
      <c r="H19" s="5" t="s">
        <v>198</v>
      </c>
      <c r="I19" s="5">
        <v>3</v>
      </c>
      <c r="J19" s="5" t="s">
        <v>512</v>
      </c>
      <c r="K19" s="5" t="s">
        <v>208</v>
      </c>
      <c r="L19" s="5" t="s">
        <v>236</v>
      </c>
      <c r="M19" s="78">
        <v>41285</v>
      </c>
      <c r="N19" s="5">
        <v>1994</v>
      </c>
      <c r="O19" s="5">
        <v>2013</v>
      </c>
      <c r="P19" s="5" t="s">
        <v>203</v>
      </c>
      <c r="Q19" s="5" t="s">
        <v>204</v>
      </c>
      <c r="R19" s="5" t="s">
        <v>513</v>
      </c>
      <c r="S19" s="5" t="s">
        <v>514</v>
      </c>
      <c r="T19" s="5" t="s">
        <v>241</v>
      </c>
      <c r="U19" s="5" t="s">
        <v>472</v>
      </c>
      <c r="V19" s="5" t="s">
        <v>208</v>
      </c>
      <c r="W19" s="5" t="s">
        <v>208</v>
      </c>
      <c r="X19" s="5">
        <v>17</v>
      </c>
      <c r="Y19" s="5">
        <v>20</v>
      </c>
      <c r="Z19" s="5">
        <v>11</v>
      </c>
      <c r="AA19" s="5" t="s">
        <v>515</v>
      </c>
      <c r="AB19" s="5">
        <v>550</v>
      </c>
      <c r="AC19" s="5" t="s">
        <v>209</v>
      </c>
      <c r="AD19" s="5" t="s">
        <v>209</v>
      </c>
      <c r="AE19" s="5" t="s">
        <v>209</v>
      </c>
      <c r="AF19" s="5" t="s">
        <v>209</v>
      </c>
      <c r="AG19" s="5" t="s">
        <v>516</v>
      </c>
      <c r="AH19" s="5" t="s">
        <v>517</v>
      </c>
      <c r="AI19" s="5">
        <f t="shared" si="2"/>
        <v>1</v>
      </c>
      <c r="AJ19" s="5" t="s">
        <v>203</v>
      </c>
      <c r="AK19" s="5" t="s">
        <v>204</v>
      </c>
      <c r="AL19" s="5" t="s">
        <v>203</v>
      </c>
      <c r="AM19" s="5" t="s">
        <v>204</v>
      </c>
      <c r="AN19" s="5" t="s">
        <v>208</v>
      </c>
      <c r="AO19" s="5" t="s">
        <v>211</v>
      </c>
      <c r="AP19" s="5" t="s">
        <v>208</v>
      </c>
      <c r="AQ19" s="5" t="s">
        <v>203</v>
      </c>
      <c r="AR19" s="5" t="s">
        <v>203</v>
      </c>
      <c r="AS19" s="5" t="s">
        <v>203</v>
      </c>
      <c r="AT19" s="5" t="s">
        <v>203</v>
      </c>
      <c r="AU19" s="5" t="s">
        <v>372</v>
      </c>
      <c r="AV19" s="5" t="s">
        <v>209</v>
      </c>
      <c r="AW19" s="5" t="s">
        <v>204</v>
      </c>
      <c r="AX19" s="5" t="s">
        <v>372</v>
      </c>
      <c r="AY19" s="5" t="s">
        <v>204</v>
      </c>
      <c r="AZ19" s="5" t="s">
        <v>372</v>
      </c>
      <c r="BA19" s="5" t="s">
        <v>204</v>
      </c>
      <c r="BB19" s="5" t="s">
        <v>372</v>
      </c>
      <c r="BC19" s="5" t="s">
        <v>204</v>
      </c>
      <c r="BD19" s="5" t="s">
        <v>372</v>
      </c>
      <c r="BE19" s="5" t="s">
        <v>204</v>
      </c>
      <c r="BF19" s="5" t="s">
        <v>372</v>
      </c>
      <c r="BG19" s="5" t="s">
        <v>204</v>
      </c>
      <c r="BH19" s="5" t="s">
        <v>372</v>
      </c>
      <c r="BI19" s="5" t="s">
        <v>204</v>
      </c>
      <c r="BJ19" s="5" t="s">
        <v>372</v>
      </c>
      <c r="BK19" s="5" t="s">
        <v>204</v>
      </c>
      <c r="BL19" s="5" t="s">
        <v>214</v>
      </c>
      <c r="BM19" s="5" t="s">
        <v>518</v>
      </c>
      <c r="BN19" s="5" t="s">
        <v>203</v>
      </c>
      <c r="BO19" s="5" t="s">
        <v>203</v>
      </c>
      <c r="BP19" s="5" t="s">
        <v>203</v>
      </c>
      <c r="BQ19" s="5" t="s">
        <v>203</v>
      </c>
      <c r="BR19" s="5" t="s">
        <v>203</v>
      </c>
      <c r="BS19" s="5" t="s">
        <v>203</v>
      </c>
      <c r="BT19" s="5" t="s">
        <v>203</v>
      </c>
      <c r="BU19" s="5" t="s">
        <v>204</v>
      </c>
      <c r="BV19" s="5">
        <f>COUNTIF(BN19:BT19, "yes")</f>
        <v>0</v>
      </c>
      <c r="BW19" s="5" t="s">
        <v>203</v>
      </c>
      <c r="BX19" s="5" t="s">
        <v>203</v>
      </c>
      <c r="BY19" s="5" t="s">
        <v>203</v>
      </c>
      <c r="BZ19" s="5" t="s">
        <v>204</v>
      </c>
      <c r="CA19" s="5">
        <f>COUNTIF(BW19:BY19, "yes")</f>
        <v>0</v>
      </c>
      <c r="CB19" s="5" t="s">
        <v>210</v>
      </c>
      <c r="CC19" s="5" t="s">
        <v>203</v>
      </c>
      <c r="CD19" s="5" t="s">
        <v>200</v>
      </c>
      <c r="CE19" s="5" t="s">
        <v>203</v>
      </c>
      <c r="CF19" s="5" t="s">
        <v>203</v>
      </c>
      <c r="CG19" s="5" t="s">
        <v>210</v>
      </c>
      <c r="CH19" s="5" t="s">
        <v>203</v>
      </c>
      <c r="CI19" s="5" t="s">
        <v>203</v>
      </c>
      <c r="CJ19" s="5" t="s">
        <v>204</v>
      </c>
      <c r="CK19" s="5">
        <f>COUNTIF(CB19:CI19, "yes")</f>
        <v>1</v>
      </c>
      <c r="CL19" s="5" t="s">
        <v>216</v>
      </c>
      <c r="CM19" s="5">
        <v>0</v>
      </c>
      <c r="CN19" s="5" t="s">
        <v>217</v>
      </c>
      <c r="CO19" s="5">
        <v>8</v>
      </c>
      <c r="CP19" s="5" t="s">
        <v>217</v>
      </c>
      <c r="CQ19" s="5">
        <v>2</v>
      </c>
      <c r="CR19" s="5" t="s">
        <v>217</v>
      </c>
      <c r="CS19" s="5">
        <v>1</v>
      </c>
      <c r="CT19" s="5" t="s">
        <v>216</v>
      </c>
      <c r="CU19" s="5">
        <v>0</v>
      </c>
      <c r="CV19" s="5" t="s">
        <v>216</v>
      </c>
      <c r="CW19" s="5">
        <v>0</v>
      </c>
      <c r="CX19" s="5" t="s">
        <v>216</v>
      </c>
      <c r="CY19" s="5">
        <v>0</v>
      </c>
      <c r="CZ19" s="5" t="s">
        <v>216</v>
      </c>
      <c r="DA19" s="5">
        <v>0</v>
      </c>
      <c r="DB19" s="5" t="s">
        <v>216</v>
      </c>
      <c r="DC19" s="5">
        <v>0</v>
      </c>
      <c r="DD19" s="5" t="s">
        <v>216</v>
      </c>
      <c r="DE19" s="5">
        <v>0</v>
      </c>
      <c r="DF19" s="5" t="s">
        <v>519</v>
      </c>
      <c r="DG19" s="5" t="s">
        <v>203</v>
      </c>
      <c r="DH19" s="5" t="s">
        <v>208</v>
      </c>
      <c r="DI19" s="5" t="s">
        <v>208</v>
      </c>
      <c r="DJ19" s="5" t="s">
        <v>208</v>
      </c>
      <c r="DK19" s="5" t="s">
        <v>203</v>
      </c>
      <c r="DL19" s="5" t="s">
        <v>208</v>
      </c>
      <c r="DM19" s="5" t="s">
        <v>203</v>
      </c>
      <c r="DN19" s="5" t="s">
        <v>204</v>
      </c>
      <c r="DO19" s="5" t="s">
        <v>210</v>
      </c>
      <c r="DP19" s="5" t="s">
        <v>219</v>
      </c>
      <c r="DQ19" s="5" t="s">
        <v>204</v>
      </c>
      <c r="DR19" s="5" t="s">
        <v>203</v>
      </c>
      <c r="DS19" s="5" t="s">
        <v>204</v>
      </c>
      <c r="DT19" s="5" t="s">
        <v>210</v>
      </c>
      <c r="DU19" s="5" t="s">
        <v>219</v>
      </c>
      <c r="DV19" s="5" t="s">
        <v>204</v>
      </c>
      <c r="DW19" s="5" t="s">
        <v>208</v>
      </c>
      <c r="DX19" s="5" t="s">
        <v>520</v>
      </c>
      <c r="DY19" s="5" t="s">
        <v>210</v>
      </c>
      <c r="DZ19" s="5" t="s">
        <v>334</v>
      </c>
      <c r="EA19" s="5" t="s">
        <v>521</v>
      </c>
      <c r="EB19" s="5" t="s">
        <v>200</v>
      </c>
      <c r="EC19" s="5" t="s">
        <v>522</v>
      </c>
      <c r="ED19" s="5" t="s">
        <v>210</v>
      </c>
      <c r="EE19" s="5" t="s">
        <v>523</v>
      </c>
      <c r="EF19" s="5" t="s">
        <v>334</v>
      </c>
      <c r="EG19" s="5" t="s">
        <v>210</v>
      </c>
      <c r="EH19" s="5" t="s">
        <v>210</v>
      </c>
      <c r="EI19" s="5" t="s">
        <v>210</v>
      </c>
      <c r="EJ19" s="5" t="s">
        <v>219</v>
      </c>
      <c r="EK19" s="5" t="s">
        <v>204</v>
      </c>
      <c r="EL19" s="5" t="s">
        <v>200</v>
      </c>
      <c r="EM19" s="5" t="s">
        <v>524</v>
      </c>
      <c r="EN19" s="5" t="s">
        <v>525</v>
      </c>
      <c r="EO19" s="5" t="s">
        <v>221</v>
      </c>
      <c r="EP19" s="5" t="s">
        <v>526</v>
      </c>
      <c r="EQ19" s="5" t="s">
        <v>200</v>
      </c>
      <c r="ER19" s="5" t="s">
        <v>527</v>
      </c>
      <c r="ES19" s="79" t="s">
        <v>528</v>
      </c>
      <c r="ET19" s="20" t="s">
        <v>529</v>
      </c>
      <c r="EU19" s="5" t="s">
        <v>530</v>
      </c>
      <c r="EV19" s="80" t="s">
        <v>208</v>
      </c>
      <c r="EW19" s="80" t="s">
        <v>208</v>
      </c>
      <c r="EX19" s="89" t="s">
        <v>531</v>
      </c>
      <c r="EY19" s="5" t="s">
        <v>227</v>
      </c>
      <c r="EZ19" s="5" t="s">
        <v>228</v>
      </c>
      <c r="FA19" s="5" t="s">
        <v>208</v>
      </c>
      <c r="FB19" s="90" t="s">
        <v>532</v>
      </c>
      <c r="FC19" s="5" t="s">
        <v>208</v>
      </c>
      <c r="FD19" s="5" t="s">
        <v>533</v>
      </c>
      <c r="FE19" s="5">
        <f>AMSTAR!BG17</f>
        <v>16</v>
      </c>
      <c r="FF19" s="5">
        <f>AMSTAR!BF17</f>
        <v>6.5</v>
      </c>
      <c r="FG19" s="34">
        <f t="shared" si="1"/>
        <v>0.40625</v>
      </c>
    </row>
    <row r="20" spans="1:163">
      <c r="A20" s="5"/>
      <c r="B20" s="13" t="s">
        <v>193</v>
      </c>
      <c r="C20" s="14" t="s">
        <v>509</v>
      </c>
      <c r="D20" s="14">
        <v>2016</v>
      </c>
      <c r="E20" s="14" t="s">
        <v>534</v>
      </c>
      <c r="F20" s="14" t="s">
        <v>196</v>
      </c>
      <c r="G20" s="5" t="s">
        <v>535</v>
      </c>
      <c r="H20" s="5" t="s">
        <v>198</v>
      </c>
      <c r="I20" s="5">
        <v>6</v>
      </c>
      <c r="J20" s="5" t="s">
        <v>536</v>
      </c>
      <c r="K20" s="5" t="s">
        <v>200</v>
      </c>
      <c r="L20" s="5" t="s">
        <v>236</v>
      </c>
      <c r="M20" s="5" t="s">
        <v>537</v>
      </c>
      <c r="N20" s="5" t="s">
        <v>209</v>
      </c>
      <c r="O20" s="5">
        <v>2016</v>
      </c>
      <c r="P20" s="5" t="s">
        <v>203</v>
      </c>
      <c r="Q20" s="5" t="s">
        <v>204</v>
      </c>
      <c r="R20" s="5" t="s">
        <v>538</v>
      </c>
      <c r="S20" s="5" t="s">
        <v>539</v>
      </c>
      <c r="T20" s="5" t="s">
        <v>241</v>
      </c>
      <c r="U20" s="5" t="s">
        <v>540</v>
      </c>
      <c r="V20" s="5" t="s">
        <v>208</v>
      </c>
      <c r="W20" s="5" t="s">
        <v>208</v>
      </c>
      <c r="X20" s="5">
        <v>12</v>
      </c>
      <c r="Y20" s="5">
        <v>12</v>
      </c>
      <c r="Z20" s="5">
        <v>12</v>
      </c>
      <c r="AA20" s="5" t="s">
        <v>204</v>
      </c>
      <c r="AB20" s="5">
        <v>6181</v>
      </c>
      <c r="AC20" s="5" t="s">
        <v>209</v>
      </c>
      <c r="AD20" s="5" t="s">
        <v>209</v>
      </c>
      <c r="AE20" s="5" t="s">
        <v>209</v>
      </c>
      <c r="AF20" s="5" t="s">
        <v>209</v>
      </c>
      <c r="AG20" s="5" t="s">
        <v>541</v>
      </c>
      <c r="AH20" s="5" t="s">
        <v>204</v>
      </c>
      <c r="AI20" s="5">
        <f t="shared" si="2"/>
        <v>1</v>
      </c>
      <c r="AJ20" s="5" t="s">
        <v>203</v>
      </c>
      <c r="AK20" s="5" t="s">
        <v>204</v>
      </c>
      <c r="AL20" s="5" t="s">
        <v>203</v>
      </c>
      <c r="AM20" s="5" t="s">
        <v>204</v>
      </c>
      <c r="AN20" s="5" t="s">
        <v>208</v>
      </c>
      <c r="AO20" s="5" t="s">
        <v>542</v>
      </c>
      <c r="AP20" s="5" t="s">
        <v>208</v>
      </c>
      <c r="AQ20" s="5" t="s">
        <v>208</v>
      </c>
      <c r="AR20" s="5" t="s">
        <v>203</v>
      </c>
      <c r="AS20" s="5" t="s">
        <v>203</v>
      </c>
      <c r="AT20" s="5" t="s">
        <v>200</v>
      </c>
      <c r="AU20" s="5">
        <v>3</v>
      </c>
      <c r="AV20" s="5">
        <v>2</v>
      </c>
      <c r="AW20" s="32" t="s">
        <v>543</v>
      </c>
      <c r="AX20" s="5">
        <v>1</v>
      </c>
      <c r="AY20" s="5" t="s">
        <v>544</v>
      </c>
      <c r="AZ20" s="5">
        <v>0</v>
      </c>
      <c r="BA20" s="5" t="s">
        <v>204</v>
      </c>
      <c r="BB20" s="5">
        <v>6</v>
      </c>
      <c r="BC20" s="5" t="s">
        <v>545</v>
      </c>
      <c r="BD20" s="5">
        <v>0</v>
      </c>
      <c r="BE20" s="5" t="s">
        <v>204</v>
      </c>
      <c r="BF20" s="5">
        <v>0</v>
      </c>
      <c r="BG20" s="5" t="s">
        <v>204</v>
      </c>
      <c r="BH20" s="5">
        <v>0</v>
      </c>
      <c r="BI20" s="5" t="s">
        <v>204</v>
      </c>
      <c r="BJ20" s="5">
        <v>0</v>
      </c>
      <c r="BK20" s="5" t="s">
        <v>204</v>
      </c>
      <c r="BL20" s="5" t="s">
        <v>214</v>
      </c>
      <c r="BM20" s="5" t="s">
        <v>546</v>
      </c>
      <c r="BN20" s="5" t="s">
        <v>203</v>
      </c>
      <c r="BO20" s="5" t="s">
        <v>203</v>
      </c>
      <c r="BP20" s="5" t="s">
        <v>203</v>
      </c>
      <c r="BQ20" s="5" t="s">
        <v>203</v>
      </c>
      <c r="BR20" s="5" t="s">
        <v>203</v>
      </c>
      <c r="BS20" s="5" t="s">
        <v>203</v>
      </c>
      <c r="BT20" s="5" t="s">
        <v>203</v>
      </c>
      <c r="BU20" s="5" t="s">
        <v>204</v>
      </c>
      <c r="BV20" s="5">
        <f>COUNTIF(BN20:BT20, "yes")</f>
        <v>0</v>
      </c>
      <c r="BW20" s="5" t="s">
        <v>203</v>
      </c>
      <c r="BX20" s="5" t="s">
        <v>203</v>
      </c>
      <c r="BY20" s="5" t="s">
        <v>203</v>
      </c>
      <c r="BZ20" s="5" t="s">
        <v>204</v>
      </c>
      <c r="CA20" s="5">
        <f>COUNTIF(BW20:BY20, "yes")</f>
        <v>0</v>
      </c>
      <c r="CB20" s="5" t="s">
        <v>203</v>
      </c>
      <c r="CC20" s="5" t="s">
        <v>208</v>
      </c>
      <c r="CD20" s="5" t="s">
        <v>208</v>
      </c>
      <c r="CE20" s="5" t="s">
        <v>203</v>
      </c>
      <c r="CF20" s="5" t="s">
        <v>203</v>
      </c>
      <c r="CG20" s="5" t="s">
        <v>203</v>
      </c>
      <c r="CH20" s="5" t="s">
        <v>203</v>
      </c>
      <c r="CI20" s="5" t="s">
        <v>203</v>
      </c>
      <c r="CJ20" s="5" t="s">
        <v>204</v>
      </c>
      <c r="CK20" s="5">
        <f>COUNTIF(CB20:CI20, "yes")</f>
        <v>2</v>
      </c>
      <c r="CL20" s="5" t="s">
        <v>216</v>
      </c>
      <c r="CM20" s="5">
        <v>0</v>
      </c>
      <c r="CN20" s="5" t="s">
        <v>252</v>
      </c>
      <c r="CO20" s="5" t="s">
        <v>209</v>
      </c>
      <c r="CP20" s="5" t="s">
        <v>252</v>
      </c>
      <c r="CQ20" s="5" t="s">
        <v>209</v>
      </c>
      <c r="CR20" s="5" t="s">
        <v>252</v>
      </c>
      <c r="CS20" s="5" t="s">
        <v>209</v>
      </c>
      <c r="CT20" s="5" t="s">
        <v>252</v>
      </c>
      <c r="CU20" s="5" t="s">
        <v>209</v>
      </c>
      <c r="CV20" s="5" t="s">
        <v>252</v>
      </c>
      <c r="CW20" s="5" t="s">
        <v>209</v>
      </c>
      <c r="CX20" s="5" t="s">
        <v>216</v>
      </c>
      <c r="CY20" s="5">
        <v>0</v>
      </c>
      <c r="CZ20" s="5" t="s">
        <v>252</v>
      </c>
      <c r="DA20" s="5" t="s">
        <v>209</v>
      </c>
      <c r="DB20" s="5" t="s">
        <v>252</v>
      </c>
      <c r="DC20" s="5" t="s">
        <v>209</v>
      </c>
      <c r="DD20" s="5" t="s">
        <v>252</v>
      </c>
      <c r="DE20" s="5" t="s">
        <v>209</v>
      </c>
      <c r="DF20" s="5" t="s">
        <v>261</v>
      </c>
      <c r="DG20" s="5" t="s">
        <v>254</v>
      </c>
      <c r="DH20" s="5" t="s">
        <v>254</v>
      </c>
      <c r="DI20" s="5" t="s">
        <v>254</v>
      </c>
      <c r="DJ20" s="5" t="s">
        <v>254</v>
      </c>
      <c r="DK20" s="5" t="s">
        <v>254</v>
      </c>
      <c r="DL20" s="5" t="s">
        <v>254</v>
      </c>
      <c r="DM20" s="5" t="s">
        <v>203</v>
      </c>
      <c r="DN20" s="5" t="s">
        <v>547</v>
      </c>
      <c r="DO20" s="5" t="s">
        <v>210</v>
      </c>
      <c r="DP20" s="5" t="s">
        <v>219</v>
      </c>
      <c r="DQ20" s="5" t="s">
        <v>204</v>
      </c>
      <c r="DR20" s="5" t="s">
        <v>203</v>
      </c>
      <c r="DS20" s="5" t="s">
        <v>204</v>
      </c>
      <c r="DT20" s="5" t="s">
        <v>210</v>
      </c>
      <c r="DU20" s="5" t="s">
        <v>219</v>
      </c>
      <c r="DV20" s="5" t="s">
        <v>204</v>
      </c>
      <c r="DW20" s="5" t="s">
        <v>208</v>
      </c>
      <c r="DX20" s="5" t="s">
        <v>548</v>
      </c>
      <c r="DY20" s="5" t="s">
        <v>549</v>
      </c>
      <c r="DZ20" s="5" t="s">
        <v>219</v>
      </c>
      <c r="EA20" s="5" t="s">
        <v>204</v>
      </c>
      <c r="EB20" s="5" t="s">
        <v>210</v>
      </c>
      <c r="EC20" s="5" t="s">
        <v>210</v>
      </c>
      <c r="ED20" s="5" t="s">
        <v>210</v>
      </c>
      <c r="EE20" s="5" t="s">
        <v>219</v>
      </c>
      <c r="EF20" s="5" t="s">
        <v>204</v>
      </c>
      <c r="EG20" s="5" t="s">
        <v>210</v>
      </c>
      <c r="EH20" s="5" t="s">
        <v>210</v>
      </c>
      <c r="EI20" s="5" t="s">
        <v>210</v>
      </c>
      <c r="EJ20" s="5" t="s">
        <v>219</v>
      </c>
      <c r="EK20" s="5" t="s">
        <v>204</v>
      </c>
      <c r="EL20" s="5" t="s">
        <v>210</v>
      </c>
      <c r="EM20" s="5" t="s">
        <v>210</v>
      </c>
      <c r="EN20" s="5" t="s">
        <v>210</v>
      </c>
      <c r="EO20" s="5" t="s">
        <v>219</v>
      </c>
      <c r="EP20" s="5" t="s">
        <v>204</v>
      </c>
      <c r="EQ20" s="5" t="s">
        <v>203</v>
      </c>
      <c r="ER20" s="5" t="s">
        <v>204</v>
      </c>
      <c r="ES20" s="79" t="s">
        <v>204</v>
      </c>
      <c r="ET20" s="20" t="s">
        <v>261</v>
      </c>
      <c r="EU20" s="5" t="s">
        <v>204</v>
      </c>
      <c r="EV20" s="80" t="s">
        <v>371</v>
      </c>
      <c r="EW20" s="80" t="s">
        <v>371</v>
      </c>
      <c r="EX20" s="80" t="s">
        <v>371</v>
      </c>
      <c r="EY20" s="5" t="s">
        <v>262</v>
      </c>
      <c r="EZ20" s="5" t="s">
        <v>228</v>
      </c>
      <c r="FA20" s="5" t="s">
        <v>208</v>
      </c>
      <c r="FB20" s="5" t="s">
        <v>550</v>
      </c>
      <c r="FC20" s="5" t="s">
        <v>208</v>
      </c>
      <c r="FD20" s="5" t="s">
        <v>315</v>
      </c>
      <c r="FE20" s="5">
        <f>AMSTAR!BG18</f>
        <v>16</v>
      </c>
      <c r="FF20" s="5">
        <f>AMSTAR!BF18</f>
        <v>5.5</v>
      </c>
      <c r="FG20" s="34">
        <f t="shared" si="1"/>
        <v>0.34375</v>
      </c>
    </row>
    <row r="21" spans="1:163">
      <c r="A21" s="5"/>
      <c r="B21" s="12">
        <v>14779</v>
      </c>
      <c r="C21" s="14" t="s">
        <v>551</v>
      </c>
      <c r="D21" s="14">
        <v>2017</v>
      </c>
      <c r="E21" s="14" t="s">
        <v>552</v>
      </c>
      <c r="F21" s="14" t="s">
        <v>381</v>
      </c>
      <c r="G21" s="5" t="s">
        <v>553</v>
      </c>
      <c r="H21" s="5" t="s">
        <v>554</v>
      </c>
      <c r="I21" s="5">
        <v>9</v>
      </c>
      <c r="J21" s="5" t="s">
        <v>555</v>
      </c>
      <c r="K21" s="5" t="s">
        <v>208</v>
      </c>
      <c r="L21" s="5" t="s">
        <v>201</v>
      </c>
      <c r="M21" s="5" t="s">
        <v>556</v>
      </c>
      <c r="N21" s="5" t="s">
        <v>209</v>
      </c>
      <c r="O21" s="5">
        <v>2015</v>
      </c>
      <c r="P21" s="5" t="s">
        <v>200</v>
      </c>
      <c r="Q21" s="5" t="s">
        <v>557</v>
      </c>
      <c r="R21" s="5" t="s">
        <v>558</v>
      </c>
      <c r="S21" s="5" t="s">
        <v>559</v>
      </c>
      <c r="T21" s="5" t="s">
        <v>207</v>
      </c>
      <c r="U21" s="5" t="s">
        <v>204</v>
      </c>
      <c r="V21" s="5" t="s">
        <v>200</v>
      </c>
      <c r="W21" s="5" t="s">
        <v>200</v>
      </c>
      <c r="X21" s="5">
        <v>18</v>
      </c>
      <c r="Y21" s="5">
        <v>18</v>
      </c>
      <c r="Z21" s="5">
        <v>18</v>
      </c>
      <c r="AA21" s="5" t="s">
        <v>204</v>
      </c>
      <c r="AB21" s="5">
        <v>1215</v>
      </c>
      <c r="AC21" s="5">
        <v>663</v>
      </c>
      <c r="AD21" s="5">
        <v>331</v>
      </c>
      <c r="AE21" s="5">
        <v>18</v>
      </c>
      <c r="AF21" s="5">
        <v>64</v>
      </c>
      <c r="AG21" s="5" t="s">
        <v>560</v>
      </c>
      <c r="AH21" s="5" t="s">
        <v>561</v>
      </c>
      <c r="AI21" s="5">
        <f t="shared" si="2"/>
        <v>1</v>
      </c>
      <c r="AJ21" s="5" t="s">
        <v>203</v>
      </c>
      <c r="AK21" s="5" t="s">
        <v>204</v>
      </c>
      <c r="AL21" s="5" t="s">
        <v>203</v>
      </c>
      <c r="AM21" s="5" t="s">
        <v>204</v>
      </c>
      <c r="AN21" s="5" t="s">
        <v>208</v>
      </c>
      <c r="AO21" s="5" t="s">
        <v>562</v>
      </c>
      <c r="AP21" s="5" t="s">
        <v>200</v>
      </c>
      <c r="AQ21" s="5" t="s">
        <v>203</v>
      </c>
      <c r="AR21" s="5" t="s">
        <v>203</v>
      </c>
      <c r="AS21" s="5" t="s">
        <v>203</v>
      </c>
      <c r="AT21" s="5" t="s">
        <v>203</v>
      </c>
      <c r="AU21" s="5" t="s">
        <v>209</v>
      </c>
      <c r="AV21" s="5" t="s">
        <v>209</v>
      </c>
      <c r="AW21" s="5" t="s">
        <v>204</v>
      </c>
      <c r="AX21" s="5" t="s">
        <v>209</v>
      </c>
      <c r="AY21" s="5" t="s">
        <v>204</v>
      </c>
      <c r="AZ21" s="5" t="s">
        <v>209</v>
      </c>
      <c r="BA21" s="5" t="s">
        <v>204</v>
      </c>
      <c r="BB21" s="5" t="s">
        <v>209</v>
      </c>
      <c r="BC21" s="5" t="s">
        <v>204</v>
      </c>
      <c r="BD21" s="5" t="s">
        <v>209</v>
      </c>
      <c r="BE21" s="5" t="s">
        <v>204</v>
      </c>
      <c r="BF21" s="5" t="s">
        <v>209</v>
      </c>
      <c r="BG21" s="5" t="s">
        <v>204</v>
      </c>
      <c r="BH21" s="5" t="s">
        <v>209</v>
      </c>
      <c r="BI21" s="5" t="s">
        <v>204</v>
      </c>
      <c r="BJ21" s="5" t="s">
        <v>209</v>
      </c>
      <c r="BK21" s="5" t="s">
        <v>204</v>
      </c>
      <c r="BL21" s="5" t="s">
        <v>214</v>
      </c>
      <c r="BM21" s="5" t="s">
        <v>563</v>
      </c>
      <c r="BN21" s="5" t="s">
        <v>203</v>
      </c>
      <c r="BO21" s="5" t="s">
        <v>203</v>
      </c>
      <c r="BP21" s="5" t="s">
        <v>210</v>
      </c>
      <c r="BQ21" s="5" t="s">
        <v>210</v>
      </c>
      <c r="BR21" s="5" t="s">
        <v>210</v>
      </c>
      <c r="BS21" s="5" t="s">
        <v>200</v>
      </c>
      <c r="BT21" s="5" t="s">
        <v>210</v>
      </c>
      <c r="BU21" s="5" t="s">
        <v>204</v>
      </c>
      <c r="BV21" s="5">
        <f>COUNTIF(BN21:BT21, "yes")</f>
        <v>1</v>
      </c>
      <c r="BW21" s="5" t="s">
        <v>203</v>
      </c>
      <c r="BX21" s="5" t="s">
        <v>203</v>
      </c>
      <c r="BY21" s="5" t="s">
        <v>203</v>
      </c>
      <c r="BZ21" s="5" t="s">
        <v>204</v>
      </c>
      <c r="CA21" s="5">
        <f>COUNTIF(BW21:BY21, "yes")</f>
        <v>0</v>
      </c>
      <c r="CB21" s="5" t="s">
        <v>203</v>
      </c>
      <c r="CC21" s="5" t="s">
        <v>203</v>
      </c>
      <c r="CD21" s="5" t="s">
        <v>200</v>
      </c>
      <c r="CE21" s="5" t="s">
        <v>210</v>
      </c>
      <c r="CF21" s="5" t="s">
        <v>210</v>
      </c>
      <c r="CG21" s="5" t="s">
        <v>210</v>
      </c>
      <c r="CH21" s="5" t="s">
        <v>210</v>
      </c>
      <c r="CI21" s="5" t="s">
        <v>210</v>
      </c>
      <c r="CJ21" s="5" t="s">
        <v>204</v>
      </c>
      <c r="CK21" s="5">
        <f>COUNTIF(CB21:CI21, "yes")</f>
        <v>1</v>
      </c>
      <c r="CL21" s="5" t="s">
        <v>216</v>
      </c>
      <c r="CM21" s="5">
        <v>0</v>
      </c>
      <c r="CN21" s="5" t="s">
        <v>217</v>
      </c>
      <c r="CO21" s="5">
        <v>18</v>
      </c>
      <c r="CP21" s="5" t="s">
        <v>216</v>
      </c>
      <c r="CQ21" s="5">
        <v>0</v>
      </c>
      <c r="CR21" s="5" t="s">
        <v>216</v>
      </c>
      <c r="CS21" s="5">
        <v>0</v>
      </c>
      <c r="CT21" s="5" t="s">
        <v>216</v>
      </c>
      <c r="CU21" s="5">
        <v>0</v>
      </c>
      <c r="CV21" s="5" t="s">
        <v>216</v>
      </c>
      <c r="CW21" s="5">
        <v>0</v>
      </c>
      <c r="CX21" s="5" t="s">
        <v>216</v>
      </c>
      <c r="CY21" s="5">
        <v>0</v>
      </c>
      <c r="CZ21" s="5" t="s">
        <v>216</v>
      </c>
      <c r="DA21" s="5">
        <v>0</v>
      </c>
      <c r="DB21" s="5" t="s">
        <v>216</v>
      </c>
      <c r="DC21" s="5">
        <v>0</v>
      </c>
      <c r="DD21" s="5" t="s">
        <v>216</v>
      </c>
      <c r="DE21" s="5">
        <v>0</v>
      </c>
      <c r="DF21" s="5" t="s">
        <v>564</v>
      </c>
      <c r="DG21" s="5" t="s">
        <v>208</v>
      </c>
      <c r="DH21" s="5" t="s">
        <v>208</v>
      </c>
      <c r="DI21" s="5" t="s">
        <v>208</v>
      </c>
      <c r="DJ21" s="5" t="s">
        <v>200</v>
      </c>
      <c r="DK21" s="5" t="s">
        <v>200</v>
      </c>
      <c r="DL21" s="5" t="s">
        <v>210</v>
      </c>
      <c r="DM21" s="5" t="s">
        <v>203</v>
      </c>
      <c r="DN21" s="5" t="s">
        <v>204</v>
      </c>
      <c r="DO21" s="5" t="s">
        <v>210</v>
      </c>
      <c r="DP21" s="5" t="s">
        <v>219</v>
      </c>
      <c r="DQ21" t="s">
        <v>204</v>
      </c>
      <c r="DR21" s="5" t="s">
        <v>203</v>
      </c>
      <c r="DS21" s="5" t="s">
        <v>204</v>
      </c>
      <c r="DT21" s="5" t="s">
        <v>210</v>
      </c>
      <c r="DU21" s="5" t="s">
        <v>219</v>
      </c>
      <c r="DV21" s="5" t="s">
        <v>204</v>
      </c>
      <c r="DW21" s="5" t="s">
        <v>208</v>
      </c>
      <c r="DX21" s="5" t="s">
        <v>565</v>
      </c>
      <c r="DY21" s="5" t="s">
        <v>566</v>
      </c>
      <c r="DZ21" s="5" t="s">
        <v>221</v>
      </c>
      <c r="EA21" s="5" t="s">
        <v>567</v>
      </c>
      <c r="EB21" s="5" t="s">
        <v>208</v>
      </c>
      <c r="EC21" s="5" t="s">
        <v>568</v>
      </c>
      <c r="ED21" s="5" t="s">
        <v>569</v>
      </c>
      <c r="EE21" s="5" t="s">
        <v>221</v>
      </c>
      <c r="EF21" s="5" t="s">
        <v>570</v>
      </c>
      <c r="EG21" s="5" t="s">
        <v>208</v>
      </c>
      <c r="EH21" s="5" t="s">
        <v>571</v>
      </c>
      <c r="EI21" s="5" t="s">
        <v>572</v>
      </c>
      <c r="EJ21" s="5" t="s">
        <v>221</v>
      </c>
      <c r="EK21" s="5" t="s">
        <v>573</v>
      </c>
      <c r="EL21" s="5" t="s">
        <v>208</v>
      </c>
      <c r="EM21" s="5" t="s">
        <v>574</v>
      </c>
      <c r="EN21" s="5" t="s">
        <v>575</v>
      </c>
      <c r="EO21" s="5" t="s">
        <v>221</v>
      </c>
      <c r="EP21" s="5" t="s">
        <v>204</v>
      </c>
      <c r="EQ21" s="5" t="s">
        <v>200</v>
      </c>
      <c r="ER21" s="5" t="s">
        <v>576</v>
      </c>
      <c r="ES21" s="79" t="s">
        <v>577</v>
      </c>
      <c r="ET21" s="20" t="s">
        <v>241</v>
      </c>
      <c r="EU21" s="5" t="s">
        <v>578</v>
      </c>
      <c r="EV21" s="80" t="s">
        <v>200</v>
      </c>
      <c r="EW21" s="80" t="s">
        <v>210</v>
      </c>
      <c r="EX21" s="80" t="s">
        <v>579</v>
      </c>
      <c r="EY21" s="5" t="s">
        <v>227</v>
      </c>
      <c r="EZ21" s="5" t="s">
        <v>420</v>
      </c>
      <c r="FA21" s="5" t="s">
        <v>203</v>
      </c>
      <c r="FB21" s="5" t="s">
        <v>204</v>
      </c>
      <c r="FC21" s="5" t="s">
        <v>208</v>
      </c>
      <c r="FD21" s="5" t="s">
        <v>580</v>
      </c>
      <c r="FE21" s="5">
        <f>AMSTAR!BG19</f>
        <v>16</v>
      </c>
      <c r="FF21" s="5">
        <f>AMSTAR!BF19</f>
        <v>15</v>
      </c>
      <c r="FG21" s="34">
        <f t="shared" si="1"/>
        <v>0.9375</v>
      </c>
    </row>
    <row r="22" spans="1:163">
      <c r="A22" s="5"/>
      <c r="B22" s="12">
        <v>8699</v>
      </c>
      <c r="C22" s="14" t="s">
        <v>581</v>
      </c>
      <c r="D22" s="14">
        <v>2018</v>
      </c>
      <c r="E22" s="14" t="s">
        <v>582</v>
      </c>
      <c r="F22" s="14" t="s">
        <v>446</v>
      </c>
      <c r="G22" s="5" t="s">
        <v>583</v>
      </c>
      <c r="H22" s="5" t="s">
        <v>198</v>
      </c>
      <c r="I22" s="5">
        <v>4</v>
      </c>
      <c r="J22" s="5" t="s">
        <v>584</v>
      </c>
      <c r="K22" s="5" t="s">
        <v>208</v>
      </c>
      <c r="L22" s="5" t="s">
        <v>236</v>
      </c>
      <c r="M22" s="5" t="s">
        <v>585</v>
      </c>
      <c r="N22" s="5" t="s">
        <v>202</v>
      </c>
      <c r="O22" s="5">
        <v>2017</v>
      </c>
      <c r="P22" s="5" t="s">
        <v>203</v>
      </c>
      <c r="Q22" s="5" t="s">
        <v>204</v>
      </c>
      <c r="R22" s="5" t="s">
        <v>586</v>
      </c>
      <c r="S22" s="5" t="s">
        <v>204</v>
      </c>
      <c r="T22" s="5" t="s">
        <v>207</v>
      </c>
      <c r="U22" s="5" t="s">
        <v>587</v>
      </c>
      <c r="V22" s="5" t="s">
        <v>208</v>
      </c>
      <c r="W22" s="5" t="s">
        <v>208</v>
      </c>
      <c r="X22" s="5">
        <v>8</v>
      </c>
      <c r="Y22" s="5">
        <v>8</v>
      </c>
      <c r="Z22" s="5">
        <v>6</v>
      </c>
      <c r="AA22" s="5" t="s">
        <v>588</v>
      </c>
      <c r="AB22" s="5">
        <v>227</v>
      </c>
      <c r="AC22" s="5">
        <v>83</v>
      </c>
      <c r="AD22" s="5">
        <v>144</v>
      </c>
      <c r="AE22" s="5" t="s">
        <v>209</v>
      </c>
      <c r="AF22" s="5" t="s">
        <v>209</v>
      </c>
      <c r="AG22" s="5" t="s">
        <v>589</v>
      </c>
      <c r="AH22" s="5" t="s">
        <v>204</v>
      </c>
      <c r="AI22" s="5">
        <f t="shared" si="2"/>
        <v>1</v>
      </c>
      <c r="AJ22" s="5" t="s">
        <v>203</v>
      </c>
      <c r="AK22" s="5" t="s">
        <v>204</v>
      </c>
      <c r="AL22" s="5" t="s">
        <v>200</v>
      </c>
      <c r="AM22" s="5" t="s">
        <v>590</v>
      </c>
      <c r="AN22" s="5" t="s">
        <v>203</v>
      </c>
      <c r="AO22" s="5" t="s">
        <v>204</v>
      </c>
      <c r="AP22" s="5" t="s">
        <v>371</v>
      </c>
      <c r="AQ22" s="5" t="s">
        <v>371</v>
      </c>
      <c r="AR22" s="5" t="s">
        <v>371</v>
      </c>
      <c r="AS22" s="5" t="s">
        <v>371</v>
      </c>
      <c r="AT22" s="5" t="s">
        <v>371</v>
      </c>
      <c r="AU22" s="5">
        <v>0</v>
      </c>
      <c r="AV22" s="5">
        <v>0</v>
      </c>
      <c r="AW22" s="5" t="s">
        <v>204</v>
      </c>
      <c r="AX22" s="5">
        <v>0</v>
      </c>
      <c r="AY22" s="5" t="s">
        <v>204</v>
      </c>
      <c r="AZ22" s="5">
        <v>0</v>
      </c>
      <c r="BA22" s="5" t="s">
        <v>204</v>
      </c>
      <c r="BB22" s="5">
        <v>4</v>
      </c>
      <c r="BC22" s="5" t="s">
        <v>591</v>
      </c>
      <c r="BD22" s="5">
        <v>0</v>
      </c>
      <c r="BE22" s="5" t="s">
        <v>204</v>
      </c>
      <c r="BF22" s="5">
        <v>0</v>
      </c>
      <c r="BG22" s="5" t="s">
        <v>204</v>
      </c>
      <c r="BH22" s="5">
        <v>2</v>
      </c>
      <c r="BI22" s="5" t="s">
        <v>592</v>
      </c>
      <c r="BJ22" s="5">
        <v>0</v>
      </c>
      <c r="BK22" s="5" t="s">
        <v>204</v>
      </c>
      <c r="BL22" s="5" t="s">
        <v>249</v>
      </c>
      <c r="BM22" s="5" t="s">
        <v>593</v>
      </c>
      <c r="BN22" s="5" t="s">
        <v>203</v>
      </c>
      <c r="BO22" s="5" t="s">
        <v>203</v>
      </c>
      <c r="BP22" s="5" t="s">
        <v>203</v>
      </c>
      <c r="BQ22" s="5" t="s">
        <v>208</v>
      </c>
      <c r="BR22" s="5" t="s">
        <v>210</v>
      </c>
      <c r="BS22" s="5" t="s">
        <v>210</v>
      </c>
      <c r="BT22" s="5" t="s">
        <v>210</v>
      </c>
      <c r="BU22" s="5" t="s">
        <v>204</v>
      </c>
      <c r="BV22" s="5">
        <f>COUNTIF(BN22:BT22, "yes")</f>
        <v>1</v>
      </c>
      <c r="BW22" s="5" t="s">
        <v>203</v>
      </c>
      <c r="BX22" s="5" t="s">
        <v>203</v>
      </c>
      <c r="BY22" s="5" t="s">
        <v>203</v>
      </c>
      <c r="BZ22" s="5" t="s">
        <v>204</v>
      </c>
      <c r="CA22" s="5">
        <f>COUNTIF(BW22:BY22, "yes")</f>
        <v>0</v>
      </c>
      <c r="CB22" s="5" t="s">
        <v>210</v>
      </c>
      <c r="CC22" s="5" t="s">
        <v>210</v>
      </c>
      <c r="CD22" s="5" t="s">
        <v>210</v>
      </c>
      <c r="CE22" s="5" t="s">
        <v>210</v>
      </c>
      <c r="CF22" s="5" t="s">
        <v>210</v>
      </c>
      <c r="CG22" s="5" t="s">
        <v>210</v>
      </c>
      <c r="CH22" s="5" t="s">
        <v>210</v>
      </c>
      <c r="CI22" s="5" t="s">
        <v>210</v>
      </c>
      <c r="CJ22" s="5" t="s">
        <v>210</v>
      </c>
      <c r="CK22" s="5">
        <f>COUNTIF(CB22:CI22, "yes")</f>
        <v>0</v>
      </c>
      <c r="CL22" s="5" t="s">
        <v>216</v>
      </c>
      <c r="CM22" s="5">
        <v>0</v>
      </c>
      <c r="CN22" s="5" t="s">
        <v>217</v>
      </c>
      <c r="CO22" s="5">
        <v>3</v>
      </c>
      <c r="CP22" s="5" t="s">
        <v>217</v>
      </c>
      <c r="CQ22" s="5">
        <v>2</v>
      </c>
      <c r="CR22" s="5" t="s">
        <v>216</v>
      </c>
      <c r="CS22" s="5">
        <v>1</v>
      </c>
      <c r="CT22" s="5" t="s">
        <v>216</v>
      </c>
      <c r="CU22" s="5">
        <v>0</v>
      </c>
      <c r="CV22" s="5" t="s">
        <v>216</v>
      </c>
      <c r="CW22" s="5">
        <v>0</v>
      </c>
      <c r="CX22" s="5" t="s">
        <v>216</v>
      </c>
      <c r="CY22" s="5">
        <v>0</v>
      </c>
      <c r="CZ22" s="5" t="s">
        <v>216</v>
      </c>
      <c r="DA22" s="5">
        <v>0</v>
      </c>
      <c r="DB22" s="5" t="s">
        <v>216</v>
      </c>
      <c r="DC22" s="5">
        <v>0</v>
      </c>
      <c r="DD22" s="5" t="s">
        <v>216</v>
      </c>
      <c r="DE22" s="5">
        <v>0</v>
      </c>
      <c r="DF22" s="5" t="s">
        <v>594</v>
      </c>
      <c r="DG22" s="5" t="s">
        <v>203</v>
      </c>
      <c r="DH22" s="5" t="s">
        <v>208</v>
      </c>
      <c r="DI22" s="5" t="s">
        <v>203</v>
      </c>
      <c r="DJ22" s="5" t="s">
        <v>208</v>
      </c>
      <c r="DK22" s="5" t="s">
        <v>203</v>
      </c>
      <c r="DL22" s="5" t="s">
        <v>203</v>
      </c>
      <c r="DM22" s="5" t="s">
        <v>208</v>
      </c>
      <c r="DN22" s="5" t="s">
        <v>595</v>
      </c>
      <c r="DO22" s="5" t="s">
        <v>596</v>
      </c>
      <c r="DP22" s="5" t="s">
        <v>221</v>
      </c>
      <c r="DQ22" s="5" t="s">
        <v>204</v>
      </c>
      <c r="DR22" s="5" t="s">
        <v>203</v>
      </c>
      <c r="DS22" s="5" t="s">
        <v>204</v>
      </c>
      <c r="DT22" s="5" t="s">
        <v>210</v>
      </c>
      <c r="DU22" s="5" t="s">
        <v>219</v>
      </c>
      <c r="DV22" s="5" t="s">
        <v>204</v>
      </c>
      <c r="DW22" s="5" t="s">
        <v>203</v>
      </c>
      <c r="DX22" s="5" t="s">
        <v>204</v>
      </c>
      <c r="DY22" s="5" t="s">
        <v>210</v>
      </c>
      <c r="DZ22" s="5" t="s">
        <v>219</v>
      </c>
      <c r="EA22" s="5" t="s">
        <v>204</v>
      </c>
      <c r="EB22" s="5" t="s">
        <v>203</v>
      </c>
      <c r="EC22" s="5" t="s">
        <v>204</v>
      </c>
      <c r="ED22" s="5" t="s">
        <v>210</v>
      </c>
      <c r="EE22" s="5" t="s">
        <v>219</v>
      </c>
      <c r="EF22" s="5" t="s">
        <v>204</v>
      </c>
      <c r="EG22" s="5" t="s">
        <v>203</v>
      </c>
      <c r="EH22" s="5" t="s">
        <v>204</v>
      </c>
      <c r="EI22" s="5" t="s">
        <v>210</v>
      </c>
      <c r="EJ22" s="5" t="s">
        <v>219</v>
      </c>
      <c r="EK22" s="5" t="s">
        <v>204</v>
      </c>
      <c r="EL22" s="5" t="s">
        <v>203</v>
      </c>
      <c r="EM22" s="5" t="s">
        <v>204</v>
      </c>
      <c r="EN22" s="5" t="s">
        <v>210</v>
      </c>
      <c r="EO22" s="5" t="s">
        <v>219</v>
      </c>
      <c r="EP22" s="5" t="s">
        <v>204</v>
      </c>
      <c r="EQ22" s="5" t="s">
        <v>203</v>
      </c>
      <c r="ER22" s="5" t="s">
        <v>204</v>
      </c>
      <c r="ES22" s="79" t="s">
        <v>204</v>
      </c>
      <c r="ET22" s="20" t="s">
        <v>261</v>
      </c>
      <c r="EU22" s="5" t="s">
        <v>204</v>
      </c>
      <c r="EV22" s="80" t="s">
        <v>200</v>
      </c>
      <c r="EW22" s="80" t="s">
        <v>208</v>
      </c>
      <c r="EX22" s="80" t="s">
        <v>597</v>
      </c>
      <c r="EY22" s="5" t="s">
        <v>227</v>
      </c>
      <c r="EZ22" s="5" t="s">
        <v>420</v>
      </c>
      <c r="FA22" s="5" t="s">
        <v>203</v>
      </c>
      <c r="FB22" s="5" t="s">
        <v>209</v>
      </c>
      <c r="FC22" s="5" t="s">
        <v>208</v>
      </c>
      <c r="FD22" s="5" t="s">
        <v>315</v>
      </c>
      <c r="FE22" s="5">
        <f>AMSTAR!BG20</f>
        <v>16</v>
      </c>
      <c r="FF22" s="5">
        <f>AMSTAR!BF20</f>
        <v>7.5</v>
      </c>
      <c r="FG22" s="34">
        <f t="shared" si="1"/>
        <v>0.46875</v>
      </c>
    </row>
    <row r="23" spans="1:163">
      <c r="A23" s="5"/>
      <c r="B23" s="13" t="s">
        <v>193</v>
      </c>
      <c r="C23" s="14" t="s">
        <v>598</v>
      </c>
      <c r="D23" s="14">
        <v>2017</v>
      </c>
      <c r="E23" s="14" t="s">
        <v>599</v>
      </c>
      <c r="F23" s="14" t="s">
        <v>196</v>
      </c>
      <c r="G23" s="5" t="s">
        <v>600</v>
      </c>
      <c r="H23" s="5" t="s">
        <v>198</v>
      </c>
      <c r="I23" s="5">
        <v>2</v>
      </c>
      <c r="J23" s="5" t="s">
        <v>601</v>
      </c>
      <c r="K23" s="5" t="s">
        <v>208</v>
      </c>
      <c r="L23" s="5" t="s">
        <v>236</v>
      </c>
      <c r="M23" s="5" t="s">
        <v>602</v>
      </c>
      <c r="N23" s="5" t="s">
        <v>209</v>
      </c>
      <c r="O23" s="82">
        <v>2016</v>
      </c>
      <c r="P23" s="5" t="s">
        <v>203</v>
      </c>
      <c r="Q23" s="5" t="s">
        <v>204</v>
      </c>
      <c r="R23" s="5" t="s">
        <v>603</v>
      </c>
      <c r="S23" s="5" t="s">
        <v>204</v>
      </c>
      <c r="T23" s="5" t="s">
        <v>207</v>
      </c>
      <c r="U23" s="5" t="s">
        <v>204</v>
      </c>
      <c r="V23" s="5" t="s">
        <v>208</v>
      </c>
      <c r="W23" s="5" t="s">
        <v>210</v>
      </c>
      <c r="X23" s="5">
        <v>32</v>
      </c>
      <c r="Y23" s="5">
        <v>35</v>
      </c>
      <c r="Z23" s="5">
        <v>32</v>
      </c>
      <c r="AA23" s="5" t="s">
        <v>204</v>
      </c>
      <c r="AB23" s="5">
        <v>1440</v>
      </c>
      <c r="AC23" s="5">
        <v>950</v>
      </c>
      <c r="AD23" s="5">
        <f>SUM(AB23-AC23)</f>
        <v>490</v>
      </c>
      <c r="AE23" s="5" t="s">
        <v>209</v>
      </c>
      <c r="AF23" s="5" t="s">
        <v>209</v>
      </c>
      <c r="AG23" s="5" t="s">
        <v>209</v>
      </c>
      <c r="AH23" s="5" t="s">
        <v>204</v>
      </c>
      <c r="AI23" s="5">
        <f t="shared" si="2"/>
        <v>1</v>
      </c>
      <c r="AJ23" s="5" t="s">
        <v>210</v>
      </c>
      <c r="AK23" s="5" t="s">
        <v>204</v>
      </c>
      <c r="AL23" s="5" t="s">
        <v>210</v>
      </c>
      <c r="AM23" s="5" t="s">
        <v>204</v>
      </c>
      <c r="AN23" s="5" t="s">
        <v>208</v>
      </c>
      <c r="AO23" s="5" t="s">
        <v>604</v>
      </c>
      <c r="AP23" s="5" t="s">
        <v>200</v>
      </c>
      <c r="AQ23" s="5" t="s">
        <v>210</v>
      </c>
      <c r="AR23" s="5" t="s">
        <v>210</v>
      </c>
      <c r="AS23" s="5" t="s">
        <v>210</v>
      </c>
      <c r="AT23" s="5" t="s">
        <v>210</v>
      </c>
      <c r="AU23" s="5">
        <v>1</v>
      </c>
      <c r="AV23" s="5" t="s">
        <v>209</v>
      </c>
      <c r="AW23" s="5" t="s">
        <v>204</v>
      </c>
      <c r="AX23" s="5">
        <v>18</v>
      </c>
      <c r="AY23" s="5" t="s">
        <v>605</v>
      </c>
      <c r="AZ23" s="5">
        <v>2</v>
      </c>
      <c r="BA23" s="5" t="s">
        <v>606</v>
      </c>
      <c r="BB23" s="5">
        <v>12</v>
      </c>
      <c r="BC23" s="5" t="s">
        <v>607</v>
      </c>
      <c r="BD23" s="5">
        <v>0</v>
      </c>
      <c r="BE23" s="5" t="s">
        <v>204</v>
      </c>
      <c r="BF23" s="5">
        <v>0</v>
      </c>
      <c r="BG23" s="5" t="s">
        <v>204</v>
      </c>
      <c r="BH23" s="5">
        <v>2</v>
      </c>
      <c r="BI23" s="5" t="s">
        <v>608</v>
      </c>
      <c r="BJ23" s="5">
        <v>0</v>
      </c>
      <c r="BK23" s="5" t="s">
        <v>204</v>
      </c>
      <c r="BL23" s="5" t="s">
        <v>249</v>
      </c>
      <c r="BM23" s="5" t="s">
        <v>609</v>
      </c>
      <c r="BN23" s="5" t="s">
        <v>210</v>
      </c>
      <c r="BO23" s="5" t="s">
        <v>200</v>
      </c>
      <c r="BP23" s="5" t="s">
        <v>203</v>
      </c>
      <c r="BQ23" s="5" t="s">
        <v>203</v>
      </c>
      <c r="BR23" s="5" t="s">
        <v>203</v>
      </c>
      <c r="BS23" s="5" t="s">
        <v>203</v>
      </c>
      <c r="BT23" s="5" t="s">
        <v>203</v>
      </c>
      <c r="BU23" s="5" t="s">
        <v>204</v>
      </c>
      <c r="BV23" s="5">
        <f>COUNTIF(BN23:BT23, "yes")</f>
        <v>1</v>
      </c>
      <c r="BW23" s="5" t="s">
        <v>203</v>
      </c>
      <c r="BX23" s="5" t="s">
        <v>203</v>
      </c>
      <c r="BY23" s="5" t="s">
        <v>203</v>
      </c>
      <c r="BZ23" s="5" t="s">
        <v>204</v>
      </c>
      <c r="CA23" s="5">
        <f>COUNTIF(BW23:BY23, "yes")</f>
        <v>0</v>
      </c>
      <c r="CB23" s="5" t="s">
        <v>203</v>
      </c>
      <c r="CC23" s="5" t="s">
        <v>203</v>
      </c>
      <c r="CD23" s="5" t="s">
        <v>203</v>
      </c>
      <c r="CE23" s="5" t="s">
        <v>203</v>
      </c>
      <c r="CF23" s="5" t="s">
        <v>203</v>
      </c>
      <c r="CG23" s="5" t="s">
        <v>203</v>
      </c>
      <c r="CH23" s="5" t="s">
        <v>203</v>
      </c>
      <c r="CI23" s="5" t="s">
        <v>203</v>
      </c>
      <c r="CJ23" s="5" t="s">
        <v>204</v>
      </c>
      <c r="CK23" s="5">
        <f>COUNTIF(CB23:CI23, "yes")</f>
        <v>0</v>
      </c>
      <c r="CL23" s="5" t="s">
        <v>216</v>
      </c>
      <c r="CM23" s="5">
        <v>0</v>
      </c>
      <c r="CN23" s="5" t="s">
        <v>217</v>
      </c>
      <c r="CO23" s="5">
        <v>32</v>
      </c>
      <c r="CP23" s="5" t="s">
        <v>216</v>
      </c>
      <c r="CQ23" s="5">
        <v>0</v>
      </c>
      <c r="CR23" s="5" t="s">
        <v>216</v>
      </c>
      <c r="CS23" s="5">
        <v>0</v>
      </c>
      <c r="CT23" s="5" t="s">
        <v>216</v>
      </c>
      <c r="CU23" s="5">
        <v>0</v>
      </c>
      <c r="CV23" s="5" t="s">
        <v>216</v>
      </c>
      <c r="CW23" s="5">
        <v>0</v>
      </c>
      <c r="CX23" s="5" t="s">
        <v>216</v>
      </c>
      <c r="CY23" s="5">
        <v>0</v>
      </c>
      <c r="CZ23" s="5" t="s">
        <v>216</v>
      </c>
      <c r="DA23" s="5">
        <v>0</v>
      </c>
      <c r="DB23" s="5" t="s">
        <v>216</v>
      </c>
      <c r="DC23" s="5">
        <v>0</v>
      </c>
      <c r="DD23" s="5" t="s">
        <v>216</v>
      </c>
      <c r="DE23" s="5">
        <v>0</v>
      </c>
      <c r="DF23" s="5" t="s">
        <v>610</v>
      </c>
      <c r="DG23" s="5" t="s">
        <v>203</v>
      </c>
      <c r="DH23" s="5" t="s">
        <v>203</v>
      </c>
      <c r="DI23" s="5" t="s">
        <v>203</v>
      </c>
      <c r="DJ23" s="5" t="s">
        <v>208</v>
      </c>
      <c r="DK23" s="5" t="s">
        <v>208</v>
      </c>
      <c r="DL23" s="5" t="s">
        <v>208</v>
      </c>
      <c r="DM23" s="5" t="s">
        <v>200</v>
      </c>
      <c r="DN23" s="5" t="s">
        <v>611</v>
      </c>
      <c r="DO23" s="5" t="s">
        <v>210</v>
      </c>
      <c r="DP23" s="5" t="s">
        <v>221</v>
      </c>
      <c r="DQ23" s="5" t="s">
        <v>612</v>
      </c>
      <c r="DR23" s="5" t="s">
        <v>203</v>
      </c>
      <c r="DS23" s="5" t="s">
        <v>210</v>
      </c>
      <c r="DT23" s="5" t="s">
        <v>210</v>
      </c>
      <c r="DU23" s="5" t="s">
        <v>219</v>
      </c>
      <c r="DV23" s="5" t="s">
        <v>204</v>
      </c>
      <c r="DW23" s="5" t="s">
        <v>208</v>
      </c>
      <c r="DX23" s="5" t="s">
        <v>613</v>
      </c>
      <c r="DY23" s="5" t="s">
        <v>614</v>
      </c>
      <c r="DZ23" s="5" t="s">
        <v>221</v>
      </c>
      <c r="EA23" s="5" t="s">
        <v>204</v>
      </c>
      <c r="EB23" s="5" t="s">
        <v>203</v>
      </c>
      <c r="EC23" s="5" t="s">
        <v>210</v>
      </c>
      <c r="ED23" s="5" t="s">
        <v>210</v>
      </c>
      <c r="EE23" s="5" t="s">
        <v>219</v>
      </c>
      <c r="EF23" s="5" t="s">
        <v>204</v>
      </c>
      <c r="EG23" s="5" t="s">
        <v>203</v>
      </c>
      <c r="EH23" s="5" t="s">
        <v>210</v>
      </c>
      <c r="EI23" s="5" t="s">
        <v>210</v>
      </c>
      <c r="EJ23" s="5" t="s">
        <v>219</v>
      </c>
      <c r="EK23" s="5" t="s">
        <v>204</v>
      </c>
      <c r="EL23" s="5" t="s">
        <v>203</v>
      </c>
      <c r="EM23" s="5" t="s">
        <v>210</v>
      </c>
      <c r="EN23" s="5" t="s">
        <v>210</v>
      </c>
      <c r="EO23" s="5" t="s">
        <v>219</v>
      </c>
      <c r="EP23" s="5" t="s">
        <v>204</v>
      </c>
      <c r="EQ23" s="5" t="s">
        <v>208</v>
      </c>
      <c r="ER23" s="5" t="s">
        <v>615</v>
      </c>
      <c r="ES23" s="79" t="s">
        <v>616</v>
      </c>
      <c r="ET23" s="20" t="s">
        <v>292</v>
      </c>
      <c r="EU23" s="5" t="s">
        <v>617</v>
      </c>
      <c r="EV23" s="80" t="s">
        <v>371</v>
      </c>
      <c r="EW23" s="80" t="s">
        <v>371</v>
      </c>
      <c r="EX23" s="80" t="s">
        <v>371</v>
      </c>
      <c r="EY23" s="5" t="s">
        <v>227</v>
      </c>
      <c r="EZ23" s="5" t="s">
        <v>228</v>
      </c>
      <c r="FA23" s="5" t="s">
        <v>208</v>
      </c>
      <c r="FB23" s="5" t="s">
        <v>302</v>
      </c>
      <c r="FC23" s="5" t="s">
        <v>208</v>
      </c>
      <c r="FD23" s="5" t="s">
        <v>315</v>
      </c>
      <c r="FE23" s="5">
        <f>AMSTAR!BG21</f>
        <v>14</v>
      </c>
      <c r="FF23" s="5">
        <f>AMSTAR!BF21</f>
        <v>6.5</v>
      </c>
      <c r="FG23" s="34">
        <f t="shared" si="1"/>
        <v>0.4642857142857143</v>
      </c>
    </row>
    <row r="24" spans="1:163">
      <c r="A24" s="5"/>
      <c r="B24" s="12">
        <v>12989</v>
      </c>
      <c r="C24" s="14" t="s">
        <v>618</v>
      </c>
      <c r="D24" s="14">
        <v>2019</v>
      </c>
      <c r="E24" s="14" t="s">
        <v>619</v>
      </c>
      <c r="F24" s="14" t="s">
        <v>233</v>
      </c>
      <c r="G24" s="5" t="s">
        <v>620</v>
      </c>
      <c r="H24" s="5" t="s">
        <v>198</v>
      </c>
      <c r="I24" s="5">
        <v>27</v>
      </c>
      <c r="J24" s="5" t="s">
        <v>621</v>
      </c>
      <c r="K24" s="5" t="s">
        <v>208</v>
      </c>
      <c r="L24" s="5" t="s">
        <v>201</v>
      </c>
      <c r="M24" s="5" t="s">
        <v>622</v>
      </c>
      <c r="N24" s="5" t="s">
        <v>209</v>
      </c>
      <c r="O24" s="5">
        <v>2018</v>
      </c>
      <c r="P24" s="5" t="s">
        <v>203</v>
      </c>
      <c r="Q24" s="5" t="s">
        <v>204</v>
      </c>
      <c r="R24" s="5" t="s">
        <v>623</v>
      </c>
      <c r="S24" s="5" t="s">
        <v>302</v>
      </c>
      <c r="T24" s="5" t="s">
        <v>241</v>
      </c>
      <c r="U24" s="5" t="s">
        <v>624</v>
      </c>
      <c r="V24" s="5" t="s">
        <v>208</v>
      </c>
      <c r="W24" s="5" t="s">
        <v>203</v>
      </c>
      <c r="X24" s="5">
        <v>6</v>
      </c>
      <c r="Y24" s="5">
        <v>6</v>
      </c>
      <c r="Z24" s="5">
        <v>3</v>
      </c>
      <c r="AA24" s="5" t="s">
        <v>625</v>
      </c>
      <c r="AB24" s="5">
        <v>93</v>
      </c>
      <c r="AC24" s="5" t="s">
        <v>209</v>
      </c>
      <c r="AD24" s="5" t="s">
        <v>209</v>
      </c>
      <c r="AE24" s="5" t="s">
        <v>209</v>
      </c>
      <c r="AF24" s="5" t="s">
        <v>209</v>
      </c>
      <c r="AG24" t="s">
        <v>209</v>
      </c>
      <c r="AH24" s="5" t="s">
        <v>204</v>
      </c>
      <c r="AI24" s="5">
        <f t="shared" si="2"/>
        <v>2</v>
      </c>
      <c r="AJ24" s="5" t="s">
        <v>208</v>
      </c>
      <c r="AK24" s="5" t="s">
        <v>626</v>
      </c>
      <c r="AL24" s="5" t="s">
        <v>208</v>
      </c>
      <c r="AM24" s="5" t="s">
        <v>627</v>
      </c>
      <c r="AN24" s="5" t="s">
        <v>203</v>
      </c>
      <c r="AO24" s="5" t="s">
        <v>204</v>
      </c>
      <c r="AP24" s="5" t="s">
        <v>371</v>
      </c>
      <c r="AQ24" s="5" t="s">
        <v>371</v>
      </c>
      <c r="AR24" s="5" t="s">
        <v>371</v>
      </c>
      <c r="AS24" s="5" t="s">
        <v>371</v>
      </c>
      <c r="AT24" s="5" t="s">
        <v>371</v>
      </c>
      <c r="AU24" s="5" t="s">
        <v>209</v>
      </c>
      <c r="AV24" s="5" t="s">
        <v>209</v>
      </c>
      <c r="AW24" s="5" t="s">
        <v>204</v>
      </c>
      <c r="AX24" s="5" t="s">
        <v>209</v>
      </c>
      <c r="AY24" s="5" t="s">
        <v>204</v>
      </c>
      <c r="AZ24" s="5" t="s">
        <v>209</v>
      </c>
      <c r="BA24" s="5" t="s">
        <v>204</v>
      </c>
      <c r="BB24" s="5" t="s">
        <v>209</v>
      </c>
      <c r="BC24" s="5" t="s">
        <v>204</v>
      </c>
      <c r="BD24" s="5" t="s">
        <v>209</v>
      </c>
      <c r="BE24" s="5" t="s">
        <v>204</v>
      </c>
      <c r="BF24" s="5" t="s">
        <v>209</v>
      </c>
      <c r="BG24" s="5" t="s">
        <v>204</v>
      </c>
      <c r="BH24" s="5" t="s">
        <v>209</v>
      </c>
      <c r="BI24" s="5" t="s">
        <v>204</v>
      </c>
      <c r="BJ24" s="5" t="s">
        <v>209</v>
      </c>
      <c r="BK24" s="5" t="s">
        <v>204</v>
      </c>
      <c r="BL24" s="5" t="s">
        <v>214</v>
      </c>
      <c r="BM24" s="5" t="s">
        <v>628</v>
      </c>
      <c r="BN24" s="5" t="s">
        <v>203</v>
      </c>
      <c r="BO24" s="5" t="s">
        <v>203</v>
      </c>
      <c r="BP24" s="5" t="s">
        <v>203</v>
      </c>
      <c r="BQ24" s="5" t="s">
        <v>203</v>
      </c>
      <c r="BR24" s="5" t="s">
        <v>203</v>
      </c>
      <c r="BS24" s="5" t="s">
        <v>203</v>
      </c>
      <c r="BT24" s="5" t="s">
        <v>203</v>
      </c>
      <c r="BU24" s="5" t="s">
        <v>210</v>
      </c>
      <c r="BV24" s="5">
        <f>COUNTIF(BN24:BT24, "yes")</f>
        <v>0</v>
      </c>
      <c r="BW24" s="5" t="s">
        <v>203</v>
      </c>
      <c r="BX24" s="5" t="s">
        <v>203</v>
      </c>
      <c r="BY24" s="5" t="s">
        <v>203</v>
      </c>
      <c r="BZ24" s="5" t="s">
        <v>204</v>
      </c>
      <c r="CA24" s="5">
        <f>COUNTIF(BW24:BY24, "yes")</f>
        <v>0</v>
      </c>
      <c r="CB24" s="5" t="s">
        <v>203</v>
      </c>
      <c r="CC24" s="5" t="s">
        <v>208</v>
      </c>
      <c r="CD24" s="5" t="s">
        <v>203</v>
      </c>
      <c r="CE24" s="5" t="s">
        <v>203</v>
      </c>
      <c r="CF24" s="5" t="s">
        <v>203</v>
      </c>
      <c r="CG24" s="5" t="s">
        <v>210</v>
      </c>
      <c r="CH24" s="5" t="s">
        <v>203</v>
      </c>
      <c r="CI24" s="5" t="s">
        <v>203</v>
      </c>
      <c r="CJ24" s="5" t="s">
        <v>204</v>
      </c>
      <c r="CK24" s="5">
        <f>COUNTIF(CB24:CI24, "yes")</f>
        <v>1</v>
      </c>
      <c r="CL24" s="5" t="s">
        <v>216</v>
      </c>
      <c r="CM24" s="5">
        <v>0</v>
      </c>
      <c r="CN24" s="5" t="s">
        <v>251</v>
      </c>
      <c r="CO24" s="5">
        <v>0</v>
      </c>
      <c r="CP24" s="5" t="s">
        <v>217</v>
      </c>
      <c r="CQ24" s="5">
        <v>2</v>
      </c>
      <c r="CR24" s="5" t="s">
        <v>251</v>
      </c>
      <c r="CS24" s="5">
        <v>0</v>
      </c>
      <c r="CT24" s="5" t="s">
        <v>251</v>
      </c>
      <c r="CU24" s="5">
        <v>0</v>
      </c>
      <c r="CV24" s="5" t="s">
        <v>217</v>
      </c>
      <c r="CW24" s="5">
        <v>1</v>
      </c>
      <c r="CX24" s="5" t="s">
        <v>251</v>
      </c>
      <c r="CY24" s="5">
        <v>0</v>
      </c>
      <c r="CZ24" s="5" t="s">
        <v>251</v>
      </c>
      <c r="DA24" s="5">
        <v>0</v>
      </c>
      <c r="DB24" s="5" t="s">
        <v>252</v>
      </c>
      <c r="DC24" s="5">
        <v>0</v>
      </c>
      <c r="DD24" s="5" t="s">
        <v>252</v>
      </c>
      <c r="DE24" s="5">
        <v>0</v>
      </c>
      <c r="DF24" s="5" t="s">
        <v>629</v>
      </c>
      <c r="DG24" s="5" t="s">
        <v>203</v>
      </c>
      <c r="DH24" s="5" t="s">
        <v>208</v>
      </c>
      <c r="DI24" s="5" t="s">
        <v>208</v>
      </c>
      <c r="DJ24" s="5" t="s">
        <v>208</v>
      </c>
      <c r="DK24" s="5" t="s">
        <v>203</v>
      </c>
      <c r="DL24" s="5" t="s">
        <v>203</v>
      </c>
      <c r="DM24" s="5" t="s">
        <v>200</v>
      </c>
      <c r="DN24" s="5" t="s">
        <v>630</v>
      </c>
      <c r="DO24" s="5" t="s">
        <v>210</v>
      </c>
      <c r="DP24" s="5" t="s">
        <v>221</v>
      </c>
      <c r="DQ24" s="5" t="s">
        <v>631</v>
      </c>
      <c r="DR24" s="5" t="s">
        <v>203</v>
      </c>
      <c r="DS24" s="5" t="s">
        <v>210</v>
      </c>
      <c r="DT24" s="5" t="s">
        <v>210</v>
      </c>
      <c r="DU24" s="5" t="s">
        <v>219</v>
      </c>
      <c r="DV24" s="5" t="s">
        <v>204</v>
      </c>
      <c r="DW24" s="5" t="s">
        <v>200</v>
      </c>
      <c r="DX24" s="5" t="s">
        <v>632</v>
      </c>
      <c r="DY24" s="5" t="s">
        <v>219</v>
      </c>
      <c r="DZ24" s="5" t="s">
        <v>221</v>
      </c>
      <c r="EA24" s="5" t="s">
        <v>633</v>
      </c>
      <c r="EB24" s="5" t="s">
        <v>203</v>
      </c>
      <c r="EC24" s="5" t="s">
        <v>210</v>
      </c>
      <c r="ED24" s="5" t="s">
        <v>210</v>
      </c>
      <c r="EE24" s="5" t="s">
        <v>219</v>
      </c>
      <c r="EF24" s="5" t="s">
        <v>204</v>
      </c>
      <c r="EG24" s="5" t="s">
        <v>203</v>
      </c>
      <c r="EH24" s="5" t="s">
        <v>210</v>
      </c>
      <c r="EI24" s="5" t="s">
        <v>210</v>
      </c>
      <c r="EJ24" s="5" t="s">
        <v>219</v>
      </c>
      <c r="EK24" s="5" t="s">
        <v>204</v>
      </c>
      <c r="EL24" s="5" t="s">
        <v>203</v>
      </c>
      <c r="EM24" s="5" t="s">
        <v>210</v>
      </c>
      <c r="EN24" s="5" t="s">
        <v>210</v>
      </c>
      <c r="EO24" s="5" t="s">
        <v>219</v>
      </c>
      <c r="EP24" s="5" t="s">
        <v>204</v>
      </c>
      <c r="EQ24" s="5" t="s">
        <v>203</v>
      </c>
      <c r="ER24" s="5" t="s">
        <v>204</v>
      </c>
      <c r="ES24" s="79" t="s">
        <v>261</v>
      </c>
      <c r="ET24" s="20" t="s">
        <v>261</v>
      </c>
      <c r="EU24" s="5" t="s">
        <v>634</v>
      </c>
      <c r="EV24" s="80" t="s">
        <v>371</v>
      </c>
      <c r="EW24" s="80" t="s">
        <v>371</v>
      </c>
      <c r="EX24" s="80" t="s">
        <v>371</v>
      </c>
      <c r="EY24" s="5" t="s">
        <v>227</v>
      </c>
      <c r="EZ24" s="5" t="s">
        <v>228</v>
      </c>
      <c r="FA24" s="5" t="s">
        <v>208</v>
      </c>
      <c r="FB24" s="5" t="s">
        <v>302</v>
      </c>
      <c r="FC24" s="5" t="s">
        <v>208</v>
      </c>
      <c r="FD24" s="5" t="s">
        <v>315</v>
      </c>
      <c r="FE24" s="5">
        <f>AMSTAR!BG22</f>
        <v>13</v>
      </c>
      <c r="FF24" s="5">
        <f>AMSTAR!BF22</f>
        <v>1.5</v>
      </c>
      <c r="FG24" s="34">
        <f t="shared" si="1"/>
        <v>0.11538461538461539</v>
      </c>
    </row>
    <row r="25" spans="1:163">
      <c r="A25" s="5"/>
      <c r="B25" s="12">
        <v>6522</v>
      </c>
      <c r="C25" s="14" t="s">
        <v>635</v>
      </c>
      <c r="D25" s="14">
        <v>2016</v>
      </c>
      <c r="E25" s="14" t="s">
        <v>636</v>
      </c>
      <c r="F25" s="14" t="s">
        <v>233</v>
      </c>
      <c r="G25" s="5" t="s">
        <v>637</v>
      </c>
      <c r="H25" s="5" t="s">
        <v>198</v>
      </c>
      <c r="I25">
        <v>23</v>
      </c>
      <c r="J25" t="s">
        <v>638</v>
      </c>
      <c r="K25" s="5" t="s">
        <v>208</v>
      </c>
      <c r="L25" s="5" t="s">
        <v>201</v>
      </c>
      <c r="M25" s="5" t="s">
        <v>639</v>
      </c>
      <c r="N25" s="5" t="s">
        <v>202</v>
      </c>
      <c r="O25" s="5">
        <v>2014</v>
      </c>
      <c r="P25" s="5" t="s">
        <v>208</v>
      </c>
      <c r="Q25" s="5" t="s">
        <v>640</v>
      </c>
      <c r="R25" s="5" t="s">
        <v>641</v>
      </c>
      <c r="S25" s="5" t="s">
        <v>642</v>
      </c>
      <c r="T25" s="5" t="s">
        <v>207</v>
      </c>
      <c r="U25" s="5" t="s">
        <v>643</v>
      </c>
      <c r="V25" s="5" t="s">
        <v>208</v>
      </c>
      <c r="W25" s="5" t="s">
        <v>200</v>
      </c>
      <c r="X25" s="5">
        <v>11</v>
      </c>
      <c r="Y25" s="5">
        <v>11</v>
      </c>
      <c r="Z25" s="5">
        <v>8</v>
      </c>
      <c r="AA25" s="5" t="s">
        <v>644</v>
      </c>
      <c r="AB25" s="5">
        <v>417</v>
      </c>
      <c r="AC25" s="5" t="s">
        <v>209</v>
      </c>
      <c r="AD25" s="5" t="s">
        <v>209</v>
      </c>
      <c r="AE25" s="5" t="s">
        <v>209</v>
      </c>
      <c r="AF25" s="5" t="s">
        <v>209</v>
      </c>
      <c r="AG25" s="5" t="s">
        <v>209</v>
      </c>
      <c r="AH25" s="5" t="s">
        <v>645</v>
      </c>
      <c r="AI25" s="5">
        <f t="shared" si="2"/>
        <v>1</v>
      </c>
      <c r="AJ25" s="5" t="s">
        <v>254</v>
      </c>
      <c r="AK25" s="5" t="s">
        <v>646</v>
      </c>
      <c r="AL25" s="5" t="s">
        <v>208</v>
      </c>
      <c r="AM25" s="5" t="s">
        <v>647</v>
      </c>
      <c r="AN25" s="5" t="s">
        <v>210</v>
      </c>
      <c r="AO25" s="5" t="s">
        <v>204</v>
      </c>
      <c r="AP25" s="5" t="s">
        <v>204</v>
      </c>
      <c r="AQ25" s="5" t="s">
        <v>204</v>
      </c>
      <c r="AR25" s="5" t="s">
        <v>204</v>
      </c>
      <c r="AS25" s="5" t="s">
        <v>204</v>
      </c>
      <c r="AT25" s="5" t="s">
        <v>204</v>
      </c>
      <c r="AU25" s="5">
        <v>1</v>
      </c>
      <c r="AV25" s="5">
        <v>4</v>
      </c>
      <c r="AW25" s="5" t="s">
        <v>648</v>
      </c>
      <c r="AX25" s="5">
        <v>2</v>
      </c>
      <c r="AY25" s="5" t="s">
        <v>649</v>
      </c>
      <c r="AZ25" s="5">
        <v>0</v>
      </c>
      <c r="BA25" s="5" t="s">
        <v>204</v>
      </c>
      <c r="BB25" s="5">
        <v>2</v>
      </c>
      <c r="BC25" s="5" t="s">
        <v>650</v>
      </c>
      <c r="BD25" s="5">
        <v>0</v>
      </c>
      <c r="BE25" s="5" t="s">
        <v>204</v>
      </c>
      <c r="BF25" s="5">
        <v>0</v>
      </c>
      <c r="BG25" s="5" t="s">
        <v>204</v>
      </c>
      <c r="BH25" s="5">
        <v>0</v>
      </c>
      <c r="BI25" s="5" t="s">
        <v>204</v>
      </c>
      <c r="BJ25" s="5">
        <v>0</v>
      </c>
      <c r="BK25" s="5" t="s">
        <v>204</v>
      </c>
      <c r="BL25" s="5" t="s">
        <v>214</v>
      </c>
      <c r="BM25" s="5" t="s">
        <v>651</v>
      </c>
      <c r="BN25" s="5" t="s">
        <v>210</v>
      </c>
      <c r="BO25" s="5" t="s">
        <v>200</v>
      </c>
      <c r="BP25" s="5" t="s">
        <v>210</v>
      </c>
      <c r="BQ25" s="5" t="s">
        <v>208</v>
      </c>
      <c r="BR25" s="5" t="s">
        <v>210</v>
      </c>
      <c r="BS25" s="5" t="s">
        <v>203</v>
      </c>
      <c r="BT25" s="5" t="s">
        <v>203</v>
      </c>
      <c r="BU25" s="5" t="s">
        <v>204</v>
      </c>
      <c r="BV25" s="5">
        <f>COUNTIF(BN25:BT25, "yes")</f>
        <v>2</v>
      </c>
      <c r="BW25" s="5" t="s">
        <v>203</v>
      </c>
      <c r="BX25" s="5" t="s">
        <v>203</v>
      </c>
      <c r="BY25" s="5" t="s">
        <v>203</v>
      </c>
      <c r="BZ25" s="5" t="s">
        <v>204</v>
      </c>
      <c r="CA25" s="5">
        <f>COUNTIF(BW25:BY25, "yes")</f>
        <v>0</v>
      </c>
      <c r="CB25" s="5" t="s">
        <v>208</v>
      </c>
      <c r="CC25" s="5" t="s">
        <v>208</v>
      </c>
      <c r="CD25" s="5" t="s">
        <v>208</v>
      </c>
      <c r="CE25" s="5" t="s">
        <v>210</v>
      </c>
      <c r="CF25" s="5" t="s">
        <v>203</v>
      </c>
      <c r="CG25" s="5" t="s">
        <v>210</v>
      </c>
      <c r="CH25" s="5" t="s">
        <v>203</v>
      </c>
      <c r="CI25" s="5" t="s">
        <v>203</v>
      </c>
      <c r="CJ25" s="5" t="s">
        <v>204</v>
      </c>
      <c r="CK25" s="5">
        <f>COUNTIF(CB25:CI25, "yes")</f>
        <v>3</v>
      </c>
      <c r="CL25" s="5" t="s">
        <v>216</v>
      </c>
      <c r="CM25" s="5">
        <v>0</v>
      </c>
      <c r="CN25" s="5" t="s">
        <v>251</v>
      </c>
      <c r="CO25" s="5">
        <v>0</v>
      </c>
      <c r="CP25" s="5" t="s">
        <v>217</v>
      </c>
      <c r="CQ25" s="5">
        <v>2</v>
      </c>
      <c r="CR25" s="5" t="s">
        <v>217</v>
      </c>
      <c r="CS25" s="5">
        <v>4</v>
      </c>
      <c r="CT25" s="5" t="s">
        <v>251</v>
      </c>
      <c r="CU25" s="5">
        <v>0</v>
      </c>
      <c r="CV25" s="5" t="s">
        <v>217</v>
      </c>
      <c r="CW25" s="5">
        <v>1</v>
      </c>
      <c r="CX25" s="5" t="s">
        <v>251</v>
      </c>
      <c r="CY25" s="5">
        <v>0</v>
      </c>
      <c r="CZ25" s="5" t="s">
        <v>217</v>
      </c>
      <c r="DA25" s="5">
        <v>1</v>
      </c>
      <c r="DB25" s="5" t="s">
        <v>252</v>
      </c>
      <c r="DC25" s="5">
        <v>0</v>
      </c>
      <c r="DD25" s="5" t="s">
        <v>252</v>
      </c>
      <c r="DE25" s="5">
        <v>0</v>
      </c>
      <c r="DF25" s="5" t="s">
        <v>652</v>
      </c>
      <c r="DG25" s="5" t="s">
        <v>203</v>
      </c>
      <c r="DH25" s="5" t="s">
        <v>208</v>
      </c>
      <c r="DI25" s="5" t="s">
        <v>254</v>
      </c>
      <c r="DJ25" s="5" t="s">
        <v>254</v>
      </c>
      <c r="DK25" s="5" t="s">
        <v>254</v>
      </c>
      <c r="DL25" s="5" t="s">
        <v>254</v>
      </c>
      <c r="DM25" s="5" t="s">
        <v>254</v>
      </c>
      <c r="DN25" s="5" t="s">
        <v>204</v>
      </c>
      <c r="DO25" s="5" t="s">
        <v>210</v>
      </c>
      <c r="DP25" s="5" t="s">
        <v>219</v>
      </c>
      <c r="DQ25" s="90" t="s">
        <v>653</v>
      </c>
      <c r="DR25" s="5" t="s">
        <v>203</v>
      </c>
      <c r="DS25" s="5" t="s">
        <v>210</v>
      </c>
      <c r="DT25" s="5" t="s">
        <v>210</v>
      </c>
      <c r="DU25" s="5" t="s">
        <v>219</v>
      </c>
      <c r="DV25" s="5" t="s">
        <v>204</v>
      </c>
      <c r="DW25" s="5" t="s">
        <v>208</v>
      </c>
      <c r="DX25" s="5" t="s">
        <v>654</v>
      </c>
      <c r="DY25" s="5" t="s">
        <v>210</v>
      </c>
      <c r="DZ25" s="5" t="s">
        <v>221</v>
      </c>
      <c r="EA25" s="5" t="s">
        <v>655</v>
      </c>
      <c r="EB25" s="5" t="s">
        <v>203</v>
      </c>
      <c r="EC25" s="5" t="s">
        <v>210</v>
      </c>
      <c r="ED25" s="5" t="s">
        <v>210</v>
      </c>
      <c r="EE25" s="5" t="s">
        <v>219</v>
      </c>
      <c r="EF25" s="5" t="s">
        <v>204</v>
      </c>
      <c r="EG25" s="5" t="s">
        <v>203</v>
      </c>
      <c r="EH25" s="5" t="s">
        <v>210</v>
      </c>
      <c r="EI25" s="5" t="s">
        <v>210</v>
      </c>
      <c r="EJ25" s="5" t="s">
        <v>219</v>
      </c>
      <c r="EK25" s="5" t="s">
        <v>204</v>
      </c>
      <c r="EL25" s="5" t="s">
        <v>203</v>
      </c>
      <c r="EM25" s="5" t="s">
        <v>210</v>
      </c>
      <c r="EN25" s="5" t="s">
        <v>210</v>
      </c>
      <c r="EO25" s="5" t="s">
        <v>219</v>
      </c>
      <c r="EP25" s="5" t="s">
        <v>204</v>
      </c>
      <c r="EQ25" s="5" t="s">
        <v>200</v>
      </c>
      <c r="ER25" s="5" t="s">
        <v>656</v>
      </c>
      <c r="ES25" s="79" t="s">
        <v>657</v>
      </c>
      <c r="ET25" s="20" t="s">
        <v>529</v>
      </c>
      <c r="EU25" s="5" t="s">
        <v>658</v>
      </c>
      <c r="EV25" s="80" t="s">
        <v>371</v>
      </c>
      <c r="EW25" s="80" t="s">
        <v>371</v>
      </c>
      <c r="EX25" s="80" t="s">
        <v>371</v>
      </c>
      <c r="EY25" s="5" t="s">
        <v>227</v>
      </c>
      <c r="EZ25" s="5" t="s">
        <v>228</v>
      </c>
      <c r="FA25" s="5" t="s">
        <v>203</v>
      </c>
      <c r="FB25" s="5" t="s">
        <v>204</v>
      </c>
      <c r="FC25" s="5" t="s">
        <v>203</v>
      </c>
      <c r="FD25" s="5" t="s">
        <v>204</v>
      </c>
      <c r="FE25" s="5">
        <f>AMSTAR!BG23</f>
        <v>13</v>
      </c>
      <c r="FF25" s="5">
        <f>AMSTAR!BF23</f>
        <v>5</v>
      </c>
      <c r="FG25" s="34">
        <f t="shared" si="1"/>
        <v>0.38461538461538464</v>
      </c>
    </row>
    <row r="26" spans="1:163">
      <c r="A26" s="5"/>
      <c r="B26" s="12">
        <v>5441</v>
      </c>
      <c r="C26" s="14" t="s">
        <v>659</v>
      </c>
      <c r="D26" s="14">
        <v>2015</v>
      </c>
      <c r="E26" s="14" t="s">
        <v>660</v>
      </c>
      <c r="F26" s="14" t="s">
        <v>233</v>
      </c>
      <c r="G26" s="5" t="s">
        <v>661</v>
      </c>
      <c r="H26" s="5" t="s">
        <v>198</v>
      </c>
      <c r="I26" s="5">
        <v>5</v>
      </c>
      <c r="J26" s="5" t="s">
        <v>662</v>
      </c>
      <c r="K26" s="5" t="s">
        <v>208</v>
      </c>
      <c r="L26" s="5" t="s">
        <v>236</v>
      </c>
      <c r="M26" s="5" t="s">
        <v>663</v>
      </c>
      <c r="N26" s="5" t="s">
        <v>209</v>
      </c>
      <c r="O26" s="5">
        <v>2013</v>
      </c>
      <c r="P26" s="5" t="s">
        <v>208</v>
      </c>
      <c r="Q26" s="5" t="s">
        <v>664</v>
      </c>
      <c r="R26" s="5" t="s">
        <v>665</v>
      </c>
      <c r="S26" s="5" t="s">
        <v>666</v>
      </c>
      <c r="T26" s="5" t="s">
        <v>241</v>
      </c>
      <c r="U26" s="5" t="s">
        <v>667</v>
      </c>
      <c r="V26" s="5" t="s">
        <v>200</v>
      </c>
      <c r="W26" s="5" t="s">
        <v>210</v>
      </c>
      <c r="X26" s="5">
        <v>16</v>
      </c>
      <c r="Y26" s="5">
        <v>18</v>
      </c>
      <c r="Z26" s="5">
        <v>8</v>
      </c>
      <c r="AA26" s="5" t="s">
        <v>668</v>
      </c>
      <c r="AB26" s="5">
        <v>27</v>
      </c>
      <c r="AC26" s="5">
        <v>10</v>
      </c>
      <c r="AD26" s="5">
        <v>11</v>
      </c>
      <c r="AE26" s="5" t="s">
        <v>669</v>
      </c>
      <c r="AF26" s="5" t="s">
        <v>670</v>
      </c>
      <c r="AG26" s="5" t="s">
        <v>209</v>
      </c>
      <c r="AH26" s="5" t="s">
        <v>671</v>
      </c>
      <c r="AI26" s="5">
        <f t="shared" si="2"/>
        <v>2</v>
      </c>
      <c r="AJ26" s="5" t="s">
        <v>208</v>
      </c>
      <c r="AK26" s="5" t="s">
        <v>672</v>
      </c>
      <c r="AL26" s="5" t="s">
        <v>200</v>
      </c>
      <c r="AM26" s="5" t="s">
        <v>673</v>
      </c>
      <c r="AN26" s="5" t="s">
        <v>203</v>
      </c>
      <c r="AO26" s="5" t="s">
        <v>204</v>
      </c>
      <c r="AP26" s="5" t="s">
        <v>204</v>
      </c>
      <c r="AQ26" s="5" t="s">
        <v>204</v>
      </c>
      <c r="AR26" s="5" t="s">
        <v>204</v>
      </c>
      <c r="AS26" s="5" t="s">
        <v>204</v>
      </c>
      <c r="AT26" s="5" t="s">
        <v>204</v>
      </c>
      <c r="AU26" s="5" t="s">
        <v>209</v>
      </c>
      <c r="AV26" s="5" t="s">
        <v>209</v>
      </c>
      <c r="AW26" s="5" t="s">
        <v>204</v>
      </c>
      <c r="AX26" s="5" t="s">
        <v>209</v>
      </c>
      <c r="AY26" s="5" t="s">
        <v>204</v>
      </c>
      <c r="AZ26" s="5" t="s">
        <v>209</v>
      </c>
      <c r="BA26" s="5" t="s">
        <v>204</v>
      </c>
      <c r="BB26" s="5" t="s">
        <v>209</v>
      </c>
      <c r="BC26" s="5" t="s">
        <v>204</v>
      </c>
      <c r="BD26" s="5" t="s">
        <v>209</v>
      </c>
      <c r="BE26" s="5" t="s">
        <v>204</v>
      </c>
      <c r="BF26" s="5" t="s">
        <v>209</v>
      </c>
      <c r="BG26" s="5" t="s">
        <v>204</v>
      </c>
      <c r="BH26" s="5" t="s">
        <v>209</v>
      </c>
      <c r="BI26" s="5" t="s">
        <v>204</v>
      </c>
      <c r="BJ26" s="5" t="s">
        <v>209</v>
      </c>
      <c r="BK26" s="5" t="s">
        <v>204</v>
      </c>
      <c r="BL26" s="5" t="s">
        <v>249</v>
      </c>
      <c r="BM26" s="5" t="s">
        <v>674</v>
      </c>
      <c r="BN26" s="5" t="s">
        <v>203</v>
      </c>
      <c r="BO26" s="5" t="s">
        <v>200</v>
      </c>
      <c r="BP26" s="5" t="s">
        <v>210</v>
      </c>
      <c r="BQ26" s="5" t="s">
        <v>210</v>
      </c>
      <c r="BR26" s="5" t="s">
        <v>210</v>
      </c>
      <c r="BS26" s="5" t="s">
        <v>210</v>
      </c>
      <c r="BT26" s="5" t="s">
        <v>210</v>
      </c>
      <c r="BU26" s="5" t="s">
        <v>204</v>
      </c>
      <c r="BV26" s="5">
        <f>COUNTIF(BN26:BT26, "yes")</f>
        <v>1</v>
      </c>
      <c r="BW26" s="5" t="s">
        <v>203</v>
      </c>
      <c r="BX26" s="5" t="s">
        <v>203</v>
      </c>
      <c r="BY26" s="5" t="s">
        <v>203</v>
      </c>
      <c r="BZ26" s="5" t="s">
        <v>204</v>
      </c>
      <c r="CA26" s="5">
        <f>COUNTIF(BW26:BY26, "yes")</f>
        <v>0</v>
      </c>
      <c r="CB26" s="5" t="s">
        <v>210</v>
      </c>
      <c r="CC26" s="5" t="s">
        <v>210</v>
      </c>
      <c r="CD26" s="5" t="s">
        <v>210</v>
      </c>
      <c r="CE26" s="5" t="s">
        <v>210</v>
      </c>
      <c r="CF26" s="5" t="s">
        <v>210</v>
      </c>
      <c r="CG26" s="5" t="s">
        <v>210</v>
      </c>
      <c r="CH26" s="5" t="s">
        <v>210</v>
      </c>
      <c r="CI26" s="5" t="s">
        <v>210</v>
      </c>
      <c r="CJ26" s="5" t="s">
        <v>204</v>
      </c>
      <c r="CK26" s="5">
        <f>COUNTIF(CB26:CI26, "yes")</f>
        <v>0</v>
      </c>
      <c r="CL26" s="5" t="s">
        <v>216</v>
      </c>
      <c r="CM26" s="5">
        <v>0</v>
      </c>
      <c r="CN26" s="5" t="s">
        <v>251</v>
      </c>
      <c r="CO26" s="5">
        <v>0</v>
      </c>
      <c r="CP26" s="5" t="s">
        <v>251</v>
      </c>
      <c r="CQ26" s="5">
        <v>0</v>
      </c>
      <c r="CR26" s="5" t="s">
        <v>251</v>
      </c>
      <c r="CS26" s="5">
        <v>0</v>
      </c>
      <c r="CT26" s="5" t="s">
        <v>251</v>
      </c>
      <c r="CU26" s="5">
        <v>0</v>
      </c>
      <c r="CV26" s="5" t="s">
        <v>217</v>
      </c>
      <c r="CW26" s="5">
        <v>7</v>
      </c>
      <c r="CX26" s="5" t="s">
        <v>217</v>
      </c>
      <c r="CY26" s="5">
        <v>1</v>
      </c>
      <c r="CZ26" s="5" t="s">
        <v>251</v>
      </c>
      <c r="DA26" s="5">
        <v>0</v>
      </c>
      <c r="DB26" s="5" t="s">
        <v>251</v>
      </c>
      <c r="DC26" s="5">
        <v>0</v>
      </c>
      <c r="DD26" s="5" t="s">
        <v>216</v>
      </c>
      <c r="DE26" s="5">
        <v>0</v>
      </c>
      <c r="DF26" s="5" t="s">
        <v>675</v>
      </c>
      <c r="DG26" s="5" t="s">
        <v>200</v>
      </c>
      <c r="DH26" s="5" t="s">
        <v>203</v>
      </c>
      <c r="DI26" s="5" t="s">
        <v>203</v>
      </c>
      <c r="DJ26" s="5" t="s">
        <v>203</v>
      </c>
      <c r="DK26" s="5" t="s">
        <v>203</v>
      </c>
      <c r="DL26" s="5" t="s">
        <v>203</v>
      </c>
      <c r="DM26" s="5" t="s">
        <v>208</v>
      </c>
      <c r="DN26" s="5" t="s">
        <v>676</v>
      </c>
      <c r="DO26" s="5" t="s">
        <v>210</v>
      </c>
      <c r="DP26" s="5" t="s">
        <v>221</v>
      </c>
      <c r="DQ26" s="5" t="s">
        <v>677</v>
      </c>
      <c r="DR26" s="5" t="s">
        <v>203</v>
      </c>
      <c r="DS26" s="5" t="s">
        <v>210</v>
      </c>
      <c r="DT26" s="5" t="s">
        <v>210</v>
      </c>
      <c r="DU26" s="5" t="s">
        <v>219</v>
      </c>
      <c r="DV26" s="5" t="s">
        <v>204</v>
      </c>
      <c r="DW26" s="5" t="s">
        <v>203</v>
      </c>
      <c r="DX26" s="5" t="s">
        <v>210</v>
      </c>
      <c r="DY26" s="5" t="s">
        <v>210</v>
      </c>
      <c r="DZ26" s="5" t="s">
        <v>219</v>
      </c>
      <c r="EA26" s="5" t="s">
        <v>204</v>
      </c>
      <c r="EB26" s="5" t="s">
        <v>203</v>
      </c>
      <c r="EC26" s="5" t="s">
        <v>210</v>
      </c>
      <c r="ED26" s="5" t="s">
        <v>210</v>
      </c>
      <c r="EE26" s="5" t="s">
        <v>219</v>
      </c>
      <c r="EF26" s="5" t="s">
        <v>204</v>
      </c>
      <c r="EG26" s="5" t="s">
        <v>208</v>
      </c>
      <c r="EH26" s="5" t="s">
        <v>678</v>
      </c>
      <c r="EI26" s="5" t="s">
        <v>219</v>
      </c>
      <c r="EJ26" s="5" t="s">
        <v>285</v>
      </c>
      <c r="EK26" s="5" t="s">
        <v>679</v>
      </c>
      <c r="EL26" s="5" t="s">
        <v>203</v>
      </c>
      <c r="EM26" s="5" t="s">
        <v>210</v>
      </c>
      <c r="EN26" s="5" t="s">
        <v>210</v>
      </c>
      <c r="EO26" s="5" t="s">
        <v>219</v>
      </c>
      <c r="EP26" s="5" t="s">
        <v>204</v>
      </c>
      <c r="EQ26" s="5" t="s">
        <v>200</v>
      </c>
      <c r="ER26" s="5" t="s">
        <v>680</v>
      </c>
      <c r="ES26" s="79" t="s">
        <v>681</v>
      </c>
      <c r="ET26" s="20" t="s">
        <v>292</v>
      </c>
      <c r="EU26" s="5" t="s">
        <v>682</v>
      </c>
      <c r="EV26" s="80" t="s">
        <v>371</v>
      </c>
      <c r="EW26" s="80" t="s">
        <v>371</v>
      </c>
      <c r="EX26" s="80" t="s">
        <v>371</v>
      </c>
      <c r="EY26" s="5" t="s">
        <v>227</v>
      </c>
      <c r="EZ26" s="5" t="s">
        <v>420</v>
      </c>
      <c r="FA26" s="5" t="s">
        <v>203</v>
      </c>
      <c r="FB26" s="5" t="s">
        <v>204</v>
      </c>
      <c r="FC26" s="5" t="s">
        <v>203</v>
      </c>
      <c r="FD26" s="5" t="s">
        <v>204</v>
      </c>
      <c r="FE26" s="5">
        <f>AMSTAR!BG24</f>
        <v>13</v>
      </c>
      <c r="FF26" s="5">
        <f>AMSTAR!BF24</f>
        <v>3</v>
      </c>
      <c r="FG26" s="34">
        <f t="shared" si="1"/>
        <v>0.23076923076923078</v>
      </c>
    </row>
    <row r="27" spans="1:163">
      <c r="A27" s="5"/>
      <c r="B27" s="12">
        <v>283</v>
      </c>
      <c r="C27" s="14" t="s">
        <v>683</v>
      </c>
      <c r="D27" s="14">
        <v>2010</v>
      </c>
      <c r="E27" s="14" t="s">
        <v>684</v>
      </c>
      <c r="F27" s="14" t="s">
        <v>233</v>
      </c>
      <c r="G27" s="5" t="s">
        <v>685</v>
      </c>
      <c r="H27" s="5" t="s">
        <v>198</v>
      </c>
      <c r="I27" s="5">
        <v>4</v>
      </c>
      <c r="J27" s="5" t="s">
        <v>686</v>
      </c>
      <c r="K27" s="5" t="s">
        <v>208</v>
      </c>
      <c r="L27" s="5" t="s">
        <v>236</v>
      </c>
      <c r="M27" s="5" t="s">
        <v>209</v>
      </c>
      <c r="N27" s="5">
        <v>1980</v>
      </c>
      <c r="O27" s="5">
        <v>2009</v>
      </c>
      <c r="P27" s="5" t="s">
        <v>203</v>
      </c>
      <c r="Q27" s="5" t="s">
        <v>204</v>
      </c>
      <c r="R27" s="5" t="s">
        <v>687</v>
      </c>
      <c r="S27" t="s">
        <v>204</v>
      </c>
      <c r="T27" s="5" t="s">
        <v>241</v>
      </c>
      <c r="U27" s="5" t="s">
        <v>688</v>
      </c>
      <c r="V27" s="5" t="s">
        <v>208</v>
      </c>
      <c r="W27" s="5" t="s">
        <v>203</v>
      </c>
      <c r="X27" s="5">
        <v>21</v>
      </c>
      <c r="Y27" s="5">
        <v>21</v>
      </c>
      <c r="Z27" s="5">
        <v>9</v>
      </c>
      <c r="AA27" s="5" t="s">
        <v>689</v>
      </c>
      <c r="AB27" s="5">
        <v>1067</v>
      </c>
      <c r="AC27" s="5">
        <v>636</v>
      </c>
      <c r="AD27" s="5">
        <v>399</v>
      </c>
      <c r="AE27" s="5">
        <v>21</v>
      </c>
      <c r="AF27" s="5">
        <v>80</v>
      </c>
      <c r="AG27" s="5" t="s">
        <v>690</v>
      </c>
      <c r="AH27" s="5" t="s">
        <v>204</v>
      </c>
      <c r="AI27" s="5">
        <f t="shared" si="2"/>
        <v>1</v>
      </c>
      <c r="AJ27" s="5" t="s">
        <v>203</v>
      </c>
      <c r="AK27" s="5" t="s">
        <v>204</v>
      </c>
      <c r="AL27" s="5" t="s">
        <v>208</v>
      </c>
      <c r="AM27" s="5" t="s">
        <v>691</v>
      </c>
      <c r="AN27" s="5" t="s">
        <v>203</v>
      </c>
      <c r="AO27" s="5" t="s">
        <v>204</v>
      </c>
      <c r="AP27" s="5" t="s">
        <v>210</v>
      </c>
      <c r="AQ27" s="5" t="s">
        <v>210</v>
      </c>
      <c r="AR27" s="5" t="s">
        <v>210</v>
      </c>
      <c r="AS27" s="5" t="s">
        <v>210</v>
      </c>
      <c r="AT27" s="5" t="s">
        <v>210</v>
      </c>
      <c r="AU27" s="5" t="s">
        <v>209</v>
      </c>
      <c r="AV27" s="5" t="s">
        <v>209</v>
      </c>
      <c r="AW27" s="5" t="s">
        <v>204</v>
      </c>
      <c r="AX27" s="5" t="s">
        <v>209</v>
      </c>
      <c r="AY27" s="5" t="s">
        <v>204</v>
      </c>
      <c r="AZ27" s="5" t="s">
        <v>209</v>
      </c>
      <c r="BA27" s="5" t="s">
        <v>204</v>
      </c>
      <c r="BB27" s="5" t="s">
        <v>209</v>
      </c>
      <c r="BC27" s="5" t="s">
        <v>204</v>
      </c>
      <c r="BD27" s="5" t="s">
        <v>209</v>
      </c>
      <c r="BE27" s="5" t="s">
        <v>204</v>
      </c>
      <c r="BF27" s="5" t="s">
        <v>209</v>
      </c>
      <c r="BG27" s="5" t="s">
        <v>204</v>
      </c>
      <c r="BH27" s="5" t="s">
        <v>209</v>
      </c>
      <c r="BI27" s="5" t="s">
        <v>204</v>
      </c>
      <c r="BJ27" s="5" t="s">
        <v>209</v>
      </c>
      <c r="BK27" s="5" t="s">
        <v>204</v>
      </c>
      <c r="BL27" s="5" t="s">
        <v>214</v>
      </c>
      <c r="BM27" s="5" t="s">
        <v>692</v>
      </c>
      <c r="BN27" s="5" t="s">
        <v>200</v>
      </c>
      <c r="BO27" s="5" t="s">
        <v>203</v>
      </c>
      <c r="BP27" s="5" t="s">
        <v>203</v>
      </c>
      <c r="BQ27" s="5" t="s">
        <v>203</v>
      </c>
      <c r="BR27" s="5" t="s">
        <v>203</v>
      </c>
      <c r="BS27" s="5" t="s">
        <v>203</v>
      </c>
      <c r="BT27" s="5" t="s">
        <v>203</v>
      </c>
      <c r="BU27" s="5" t="s">
        <v>204</v>
      </c>
      <c r="BV27" s="5">
        <f>COUNTIF(BN27:BT27, "yes")</f>
        <v>1</v>
      </c>
      <c r="BW27" s="5" t="s">
        <v>203</v>
      </c>
      <c r="BX27" s="5" t="s">
        <v>203</v>
      </c>
      <c r="BY27" s="5" t="s">
        <v>203</v>
      </c>
      <c r="BZ27" s="5" t="s">
        <v>204</v>
      </c>
      <c r="CA27" s="5">
        <f>COUNTIF(BW27:BY27, "yes")</f>
        <v>0</v>
      </c>
      <c r="CB27" s="5" t="s">
        <v>203</v>
      </c>
      <c r="CC27" s="5" t="s">
        <v>208</v>
      </c>
      <c r="CD27" s="5" t="s">
        <v>208</v>
      </c>
      <c r="CE27" s="5" t="s">
        <v>203</v>
      </c>
      <c r="CF27" s="5" t="s">
        <v>203</v>
      </c>
      <c r="CG27" s="5" t="s">
        <v>210</v>
      </c>
      <c r="CH27" s="5" t="s">
        <v>203</v>
      </c>
      <c r="CI27" s="5" t="s">
        <v>203</v>
      </c>
      <c r="CJ27" s="5" t="s">
        <v>204</v>
      </c>
      <c r="CK27" s="5">
        <f>COUNTIF(CB27:CI27, "yes")</f>
        <v>2</v>
      </c>
      <c r="CL27" s="5" t="s">
        <v>216</v>
      </c>
      <c r="CM27" s="5">
        <v>0</v>
      </c>
      <c r="CN27" s="5" t="s">
        <v>217</v>
      </c>
      <c r="CO27" s="5">
        <v>1</v>
      </c>
      <c r="CP27" s="5" t="s">
        <v>217</v>
      </c>
      <c r="CQ27" s="5">
        <v>2</v>
      </c>
      <c r="CR27" s="5" t="s">
        <v>251</v>
      </c>
      <c r="CS27" s="5">
        <v>0</v>
      </c>
      <c r="CT27" s="5" t="s">
        <v>217</v>
      </c>
      <c r="CU27" s="5">
        <v>3</v>
      </c>
      <c r="CV27" s="5" t="s">
        <v>252</v>
      </c>
      <c r="CW27" s="5">
        <v>0</v>
      </c>
      <c r="CX27" s="5" t="s">
        <v>217</v>
      </c>
      <c r="CY27" s="5">
        <v>2</v>
      </c>
      <c r="CZ27" s="5" t="s">
        <v>251</v>
      </c>
      <c r="DA27" s="5">
        <v>0</v>
      </c>
      <c r="DB27" s="5" t="s">
        <v>252</v>
      </c>
      <c r="DC27" s="5">
        <v>0</v>
      </c>
      <c r="DD27" s="5" t="s">
        <v>216</v>
      </c>
      <c r="DE27" s="5" t="s">
        <v>204</v>
      </c>
      <c r="DF27" s="5" t="s">
        <v>693</v>
      </c>
      <c r="DG27" s="5" t="s">
        <v>203</v>
      </c>
      <c r="DH27" s="5" t="s">
        <v>203</v>
      </c>
      <c r="DI27" s="5" t="s">
        <v>203</v>
      </c>
      <c r="DJ27" s="5" t="s">
        <v>208</v>
      </c>
      <c r="DK27" s="5" t="s">
        <v>203</v>
      </c>
      <c r="DL27" s="5" t="s">
        <v>203</v>
      </c>
      <c r="DM27" s="5" t="s">
        <v>200</v>
      </c>
      <c r="DN27" s="5" t="s">
        <v>694</v>
      </c>
      <c r="DO27" s="5" t="s">
        <v>210</v>
      </c>
      <c r="DP27" s="5" t="s">
        <v>221</v>
      </c>
      <c r="DQ27" s="5" t="s">
        <v>695</v>
      </c>
      <c r="DR27" s="5" t="s">
        <v>203</v>
      </c>
      <c r="DS27" s="5" t="s">
        <v>204</v>
      </c>
      <c r="DT27" s="5" t="s">
        <v>219</v>
      </c>
      <c r="DU27" s="5" t="s">
        <v>219</v>
      </c>
      <c r="DV27" s="5" t="s">
        <v>204</v>
      </c>
      <c r="DW27" s="5" t="s">
        <v>208</v>
      </c>
      <c r="DX27" s="5" t="s">
        <v>696</v>
      </c>
      <c r="DY27" s="5" t="s">
        <v>219</v>
      </c>
      <c r="DZ27" s="5" t="s">
        <v>221</v>
      </c>
      <c r="EA27" s="5" t="s">
        <v>697</v>
      </c>
      <c r="EB27" s="5" t="s">
        <v>203</v>
      </c>
      <c r="EC27" s="5" t="s">
        <v>204</v>
      </c>
      <c r="ED27" s="5" t="s">
        <v>219</v>
      </c>
      <c r="EE27" s="5" t="s">
        <v>219</v>
      </c>
      <c r="EF27" s="5" t="s">
        <v>204</v>
      </c>
      <c r="EG27" s="5" t="s">
        <v>208</v>
      </c>
      <c r="EH27" s="5" t="s">
        <v>698</v>
      </c>
      <c r="EI27" s="5" t="s">
        <v>210</v>
      </c>
      <c r="EJ27" s="5" t="s">
        <v>221</v>
      </c>
      <c r="EK27" s="5" t="s">
        <v>699</v>
      </c>
      <c r="EL27" s="5" t="s">
        <v>208</v>
      </c>
      <c r="EM27" s="5" t="s">
        <v>700</v>
      </c>
      <c r="EN27" s="5" t="s">
        <v>219</v>
      </c>
      <c r="EO27" s="5" t="s">
        <v>221</v>
      </c>
      <c r="EP27" s="5" t="s">
        <v>701</v>
      </c>
      <c r="EQ27" s="5" t="s">
        <v>200</v>
      </c>
      <c r="ER27" s="5" t="s">
        <v>702</v>
      </c>
      <c r="ES27" s="79" t="s">
        <v>657</v>
      </c>
      <c r="ET27" s="20" t="s">
        <v>529</v>
      </c>
      <c r="EU27" s="5" t="s">
        <v>703</v>
      </c>
      <c r="EV27" s="80" t="s">
        <v>371</v>
      </c>
      <c r="EW27" s="80" t="s">
        <v>371</v>
      </c>
      <c r="EX27" s="80" t="s">
        <v>371</v>
      </c>
      <c r="EY27" s="5" t="s">
        <v>227</v>
      </c>
      <c r="EZ27" s="5" t="s">
        <v>228</v>
      </c>
      <c r="FA27" s="5" t="s">
        <v>203</v>
      </c>
      <c r="FB27" s="5" t="s">
        <v>704</v>
      </c>
      <c r="FC27" s="5" t="s">
        <v>203</v>
      </c>
      <c r="FD27" s="5" t="s">
        <v>704</v>
      </c>
      <c r="FE27" s="5">
        <f>AMSTAR!BG25</f>
        <v>13</v>
      </c>
      <c r="FF27" s="5">
        <f>AMSTAR!BF25</f>
        <v>1.5</v>
      </c>
      <c r="FG27" s="34">
        <f t="shared" si="1"/>
        <v>0.11538461538461539</v>
      </c>
    </row>
    <row r="28" spans="1:163">
      <c r="A28" s="5"/>
      <c r="B28" s="12">
        <v>17273</v>
      </c>
      <c r="C28" s="14" t="s">
        <v>705</v>
      </c>
      <c r="D28" s="14">
        <v>2014</v>
      </c>
      <c r="E28" s="14" t="s">
        <v>706</v>
      </c>
      <c r="F28" s="14" t="s">
        <v>233</v>
      </c>
      <c r="G28" s="5" t="s">
        <v>707</v>
      </c>
      <c r="H28" s="5" t="s">
        <v>708</v>
      </c>
      <c r="I28" s="5">
        <v>12</v>
      </c>
      <c r="J28" s="5" t="s">
        <v>709</v>
      </c>
      <c r="K28" s="5" t="s">
        <v>200</v>
      </c>
      <c r="L28" s="5" t="s">
        <v>201</v>
      </c>
      <c r="M28" s="5" t="s">
        <v>710</v>
      </c>
      <c r="N28" s="5" t="s">
        <v>202</v>
      </c>
      <c r="O28" s="5">
        <v>2012</v>
      </c>
      <c r="P28" s="5" t="s">
        <v>203</v>
      </c>
      <c r="Q28" s="5" t="s">
        <v>204</v>
      </c>
      <c r="R28" s="5" t="s">
        <v>711</v>
      </c>
      <c r="S28" s="5" t="s">
        <v>712</v>
      </c>
      <c r="T28" s="5" t="s">
        <v>207</v>
      </c>
      <c r="U28" s="5" t="s">
        <v>204</v>
      </c>
      <c r="V28" s="5" t="s">
        <v>208</v>
      </c>
      <c r="W28" s="5" t="s">
        <v>208</v>
      </c>
      <c r="X28" s="5">
        <v>13</v>
      </c>
      <c r="Y28" s="5">
        <v>14</v>
      </c>
      <c r="Z28" s="5">
        <v>13</v>
      </c>
      <c r="AA28" s="5" t="s">
        <v>204</v>
      </c>
      <c r="AB28" s="5">
        <v>1863</v>
      </c>
      <c r="AC28" s="5">
        <v>1193</v>
      </c>
      <c r="AD28" s="5">
        <v>670</v>
      </c>
      <c r="AE28" s="5" t="s">
        <v>209</v>
      </c>
      <c r="AF28" s="5" t="s">
        <v>209</v>
      </c>
      <c r="AG28" s="90" t="s">
        <v>713</v>
      </c>
      <c r="AH28" s="5" t="s">
        <v>714</v>
      </c>
      <c r="AI28" s="5">
        <f t="shared" si="2"/>
        <v>1</v>
      </c>
      <c r="AJ28" s="5" t="s">
        <v>203</v>
      </c>
      <c r="AK28" s="5" t="s">
        <v>204</v>
      </c>
      <c r="AL28" s="5" t="s">
        <v>203</v>
      </c>
      <c r="AM28" s="5" t="s">
        <v>204</v>
      </c>
      <c r="AN28" s="5" t="s">
        <v>208</v>
      </c>
      <c r="AO28" s="5" t="s">
        <v>715</v>
      </c>
      <c r="AP28" s="5" t="s">
        <v>208</v>
      </c>
      <c r="AQ28" s="5" t="s">
        <v>208</v>
      </c>
      <c r="AR28" s="5" t="s">
        <v>203</v>
      </c>
      <c r="AS28" s="5" t="s">
        <v>203</v>
      </c>
      <c r="AT28" s="5" t="s">
        <v>203</v>
      </c>
      <c r="AU28" s="5">
        <v>0</v>
      </c>
      <c r="AV28" s="5">
        <v>0</v>
      </c>
      <c r="AW28" s="5" t="s">
        <v>204</v>
      </c>
      <c r="AX28" s="5">
        <v>0</v>
      </c>
      <c r="AY28" s="5" t="s">
        <v>204</v>
      </c>
      <c r="AZ28" s="5">
        <v>0</v>
      </c>
      <c r="BA28" s="5" t="s">
        <v>204</v>
      </c>
      <c r="BB28" s="5">
        <v>13</v>
      </c>
      <c r="BC28" s="5" t="s">
        <v>716</v>
      </c>
      <c r="BD28" s="5">
        <v>0</v>
      </c>
      <c r="BE28" s="5" t="s">
        <v>204</v>
      </c>
      <c r="BF28" s="5">
        <v>0</v>
      </c>
      <c r="BG28" s="5" t="s">
        <v>204</v>
      </c>
      <c r="BH28" s="5">
        <v>0</v>
      </c>
      <c r="BI28" s="5" t="s">
        <v>204</v>
      </c>
      <c r="BJ28" s="5">
        <v>0</v>
      </c>
      <c r="BK28" s="5" t="s">
        <v>204</v>
      </c>
      <c r="BL28" s="5" t="s">
        <v>249</v>
      </c>
      <c r="BM28" s="5" t="s">
        <v>717</v>
      </c>
      <c r="BN28" s="5" t="s">
        <v>208</v>
      </c>
      <c r="BO28" s="5" t="s">
        <v>210</v>
      </c>
      <c r="BP28" s="5" t="s">
        <v>203</v>
      </c>
      <c r="BQ28" s="5" t="s">
        <v>208</v>
      </c>
      <c r="BR28" s="5" t="s">
        <v>203</v>
      </c>
      <c r="BS28" s="5" t="s">
        <v>203</v>
      </c>
      <c r="BT28" s="5" t="s">
        <v>203</v>
      </c>
      <c r="BU28" s="5" t="s">
        <v>204</v>
      </c>
      <c r="BV28" s="5">
        <f>COUNTIF(BN28:BT28, "yes")</f>
        <v>2</v>
      </c>
      <c r="BW28" s="5" t="s">
        <v>203</v>
      </c>
      <c r="BX28" s="5" t="s">
        <v>203</v>
      </c>
      <c r="BY28" s="5" t="s">
        <v>203</v>
      </c>
      <c r="BZ28" s="5" t="s">
        <v>204</v>
      </c>
      <c r="CA28" s="5">
        <f>COUNTIF(BW28:BY28, "yes")</f>
        <v>0</v>
      </c>
      <c r="CB28" s="5" t="s">
        <v>203</v>
      </c>
      <c r="CC28" s="5" t="s">
        <v>203</v>
      </c>
      <c r="CD28" s="5" t="s">
        <v>203</v>
      </c>
      <c r="CE28" s="5" t="s">
        <v>203</v>
      </c>
      <c r="CF28" s="5" t="s">
        <v>203</v>
      </c>
      <c r="CG28" s="5" t="s">
        <v>210</v>
      </c>
      <c r="CH28" s="5" t="s">
        <v>203</v>
      </c>
      <c r="CI28" s="5" t="s">
        <v>203</v>
      </c>
      <c r="CJ28" s="5" t="s">
        <v>204</v>
      </c>
      <c r="CK28" s="5">
        <f>COUNTIF(CB28:CI28, "yes")</f>
        <v>0</v>
      </c>
      <c r="CL28" s="5" t="s">
        <v>216</v>
      </c>
      <c r="CM28" s="5">
        <v>0</v>
      </c>
      <c r="CN28" s="5" t="s">
        <v>217</v>
      </c>
      <c r="CO28" s="5">
        <v>3</v>
      </c>
      <c r="CP28" s="5" t="s">
        <v>217</v>
      </c>
      <c r="CQ28" s="5">
        <v>10</v>
      </c>
      <c r="CR28" s="5" t="s">
        <v>216</v>
      </c>
      <c r="CS28" s="5">
        <v>0</v>
      </c>
      <c r="CT28" s="5" t="s">
        <v>216</v>
      </c>
      <c r="CU28" s="5">
        <v>0</v>
      </c>
      <c r="CV28" s="5" t="s">
        <v>216</v>
      </c>
      <c r="CW28" s="5">
        <v>0</v>
      </c>
      <c r="CX28" s="5" t="s">
        <v>216</v>
      </c>
      <c r="CY28" s="5">
        <v>0</v>
      </c>
      <c r="CZ28" s="5" t="s">
        <v>216</v>
      </c>
      <c r="DA28" s="5">
        <v>0</v>
      </c>
      <c r="DB28" s="5" t="s">
        <v>216</v>
      </c>
      <c r="DC28" s="5">
        <v>0</v>
      </c>
      <c r="DD28" s="5" t="s">
        <v>216</v>
      </c>
      <c r="DE28" s="5">
        <v>0</v>
      </c>
      <c r="DF28" s="5" t="s">
        <v>718</v>
      </c>
      <c r="DG28" s="5" t="s">
        <v>203</v>
      </c>
      <c r="DH28" s="5" t="s">
        <v>203</v>
      </c>
      <c r="DI28" s="5" t="s">
        <v>208</v>
      </c>
      <c r="DJ28" s="5" t="s">
        <v>208</v>
      </c>
      <c r="DK28" s="5" t="s">
        <v>208</v>
      </c>
      <c r="DL28" s="5" t="s">
        <v>208</v>
      </c>
      <c r="DM28" s="5" t="s">
        <v>208</v>
      </c>
      <c r="DN28" s="5" t="s">
        <v>719</v>
      </c>
      <c r="DO28" s="5" t="s">
        <v>203</v>
      </c>
      <c r="DP28" s="5" t="s">
        <v>221</v>
      </c>
      <c r="DQ28" s="5" t="s">
        <v>720</v>
      </c>
      <c r="DR28" s="5" t="s">
        <v>203</v>
      </c>
      <c r="DS28" s="5" t="s">
        <v>204</v>
      </c>
      <c r="DT28" s="5" t="s">
        <v>219</v>
      </c>
      <c r="DU28" s="5" t="s">
        <v>219</v>
      </c>
      <c r="DV28" s="5" t="s">
        <v>204</v>
      </c>
      <c r="DW28" s="5" t="s">
        <v>208</v>
      </c>
      <c r="DX28" s="5" t="s">
        <v>721</v>
      </c>
      <c r="DY28" s="5" t="s">
        <v>210</v>
      </c>
      <c r="DZ28" s="5" t="s">
        <v>221</v>
      </c>
      <c r="EA28" s="5" t="s">
        <v>722</v>
      </c>
      <c r="EB28" s="5" t="s">
        <v>203</v>
      </c>
      <c r="EC28" s="5" t="s">
        <v>204</v>
      </c>
      <c r="ED28" s="5" t="s">
        <v>219</v>
      </c>
      <c r="EE28" s="5" t="s">
        <v>219</v>
      </c>
      <c r="EF28" s="5" t="s">
        <v>204</v>
      </c>
      <c r="EG28" s="5" t="s">
        <v>203</v>
      </c>
      <c r="EH28" s="5" t="s">
        <v>204</v>
      </c>
      <c r="EI28" s="5" t="s">
        <v>219</v>
      </c>
      <c r="EJ28" s="5" t="s">
        <v>219</v>
      </c>
      <c r="EK28" s="5" t="s">
        <v>204</v>
      </c>
      <c r="EL28" s="5" t="s">
        <v>203</v>
      </c>
      <c r="EM28" s="5" t="s">
        <v>204</v>
      </c>
      <c r="EN28" s="5" t="s">
        <v>219</v>
      </c>
      <c r="EO28" s="5" t="s">
        <v>219</v>
      </c>
      <c r="EP28" s="5" t="s">
        <v>204</v>
      </c>
      <c r="EQ28" s="5" t="s">
        <v>200</v>
      </c>
      <c r="ER28" s="5" t="s">
        <v>723</v>
      </c>
      <c r="ES28" s="79" t="s">
        <v>724</v>
      </c>
      <c r="ET28" s="20" t="s">
        <v>529</v>
      </c>
      <c r="EU28" s="5" t="s">
        <v>725</v>
      </c>
      <c r="EV28" s="80" t="s">
        <v>371</v>
      </c>
      <c r="EW28" s="80" t="s">
        <v>371</v>
      </c>
      <c r="EX28" s="80" t="s">
        <v>371</v>
      </c>
      <c r="EY28" s="5" t="s">
        <v>262</v>
      </c>
      <c r="EZ28" s="5" t="s">
        <v>228</v>
      </c>
      <c r="FA28" s="5" t="s">
        <v>208</v>
      </c>
      <c r="FB28" s="5" t="s">
        <v>726</v>
      </c>
      <c r="FC28" s="5" t="s">
        <v>208</v>
      </c>
      <c r="FD28" s="5" t="s">
        <v>727</v>
      </c>
      <c r="FE28" s="5">
        <f>AMSTAR!BG26</f>
        <v>13</v>
      </c>
      <c r="FF28" s="5">
        <f>AMSTAR!BF26</f>
        <v>10</v>
      </c>
      <c r="FG28" s="34">
        <f t="shared" si="1"/>
        <v>0.76923076923076927</v>
      </c>
    </row>
    <row r="29" spans="1:163">
      <c r="A29" s="5"/>
      <c r="B29" s="13" t="s">
        <v>193</v>
      </c>
      <c r="C29" s="14" t="s">
        <v>728</v>
      </c>
      <c r="D29" s="14">
        <v>2014</v>
      </c>
      <c r="E29" s="14" t="s">
        <v>729</v>
      </c>
      <c r="F29" s="14" t="s">
        <v>196</v>
      </c>
      <c r="G29" s="5" t="s">
        <v>730</v>
      </c>
      <c r="H29" s="5" t="s">
        <v>708</v>
      </c>
      <c r="I29" s="5">
        <v>14</v>
      </c>
      <c r="J29" s="5" t="s">
        <v>731</v>
      </c>
      <c r="K29" s="5" t="s">
        <v>200</v>
      </c>
      <c r="L29" s="5" t="s">
        <v>236</v>
      </c>
      <c r="M29" s="5" t="s">
        <v>732</v>
      </c>
      <c r="N29" s="5">
        <v>1990</v>
      </c>
      <c r="O29" s="82">
        <v>2012</v>
      </c>
      <c r="P29" s="5" t="s">
        <v>203</v>
      </c>
      <c r="Q29" s="5" t="s">
        <v>204</v>
      </c>
      <c r="R29" s="5" t="s">
        <v>733</v>
      </c>
      <c r="S29" s="5" t="s">
        <v>302</v>
      </c>
      <c r="T29" s="5" t="s">
        <v>207</v>
      </c>
      <c r="U29" s="5" t="s">
        <v>734</v>
      </c>
      <c r="V29" s="5" t="s">
        <v>208</v>
      </c>
      <c r="W29" s="5" t="s">
        <v>208</v>
      </c>
      <c r="X29" s="5">
        <v>11</v>
      </c>
      <c r="Y29" s="5">
        <v>11</v>
      </c>
      <c r="Z29" s="5">
        <v>7</v>
      </c>
      <c r="AA29" s="5" t="s">
        <v>735</v>
      </c>
      <c r="AB29" s="5">
        <v>241</v>
      </c>
      <c r="AC29" s="5" t="s">
        <v>209</v>
      </c>
      <c r="AD29" s="5" t="s">
        <v>209</v>
      </c>
      <c r="AE29" s="5" t="s">
        <v>209</v>
      </c>
      <c r="AF29" s="5" t="s">
        <v>209</v>
      </c>
      <c r="AG29" s="5" t="s">
        <v>209</v>
      </c>
      <c r="AH29" s="5" t="s">
        <v>736</v>
      </c>
      <c r="AI29" s="5">
        <f t="shared" si="2"/>
        <v>1</v>
      </c>
      <c r="AJ29" s="5" t="s">
        <v>203</v>
      </c>
      <c r="AK29" s="5" t="s">
        <v>204</v>
      </c>
      <c r="AL29" s="5" t="s">
        <v>203</v>
      </c>
      <c r="AM29" s="5" t="s">
        <v>204</v>
      </c>
      <c r="AN29" s="5" t="s">
        <v>208</v>
      </c>
      <c r="AO29" s="5" t="s">
        <v>737</v>
      </c>
      <c r="AP29" s="5" t="s">
        <v>208</v>
      </c>
      <c r="AQ29" s="5" t="s">
        <v>200</v>
      </c>
      <c r="AR29" s="5" t="s">
        <v>203</v>
      </c>
      <c r="AS29" s="5" t="s">
        <v>203</v>
      </c>
      <c r="AT29" s="5" t="s">
        <v>203</v>
      </c>
      <c r="AU29" s="5">
        <v>0</v>
      </c>
      <c r="AV29" s="5">
        <v>0</v>
      </c>
      <c r="AW29" s="5" t="s">
        <v>204</v>
      </c>
      <c r="AX29" s="5">
        <v>2</v>
      </c>
      <c r="AY29" s="5" t="s">
        <v>738</v>
      </c>
      <c r="AZ29" s="5">
        <v>1</v>
      </c>
      <c r="BA29" s="5" t="s">
        <v>351</v>
      </c>
      <c r="BB29" s="5">
        <v>3</v>
      </c>
      <c r="BC29" s="5" t="s">
        <v>739</v>
      </c>
      <c r="BD29" s="5">
        <v>0</v>
      </c>
      <c r="BE29" s="5" t="s">
        <v>204</v>
      </c>
      <c r="BF29" s="5">
        <v>0</v>
      </c>
      <c r="BG29" s="5" t="s">
        <v>204</v>
      </c>
      <c r="BH29" s="5">
        <v>1</v>
      </c>
      <c r="BI29" s="5" t="s">
        <v>740</v>
      </c>
      <c r="BJ29" s="5">
        <v>0</v>
      </c>
      <c r="BK29" s="5" t="s">
        <v>204</v>
      </c>
      <c r="BL29" s="5" t="s">
        <v>214</v>
      </c>
      <c r="BM29" s="5" t="s">
        <v>741</v>
      </c>
      <c r="BN29" s="5" t="s">
        <v>210</v>
      </c>
      <c r="BO29" s="5" t="s">
        <v>210</v>
      </c>
      <c r="BP29" s="5" t="s">
        <v>210</v>
      </c>
      <c r="BQ29" s="5" t="s">
        <v>210</v>
      </c>
      <c r="BR29" s="5" t="s">
        <v>210</v>
      </c>
      <c r="BS29" s="5" t="s">
        <v>200</v>
      </c>
      <c r="BT29" s="5" t="s">
        <v>203</v>
      </c>
      <c r="BU29" s="5" t="s">
        <v>204</v>
      </c>
      <c r="BV29" s="5">
        <f>COUNTIF(BN29:BT29, "yes")</f>
        <v>1</v>
      </c>
      <c r="BW29" s="5" t="s">
        <v>203</v>
      </c>
      <c r="BX29" s="5" t="s">
        <v>203</v>
      </c>
      <c r="BY29" s="5" t="s">
        <v>203</v>
      </c>
      <c r="BZ29" s="5" t="s">
        <v>204</v>
      </c>
      <c r="CA29" s="5">
        <f>COUNTIF(BW29:BY29, "yes")</f>
        <v>0</v>
      </c>
      <c r="CB29" s="5" t="s">
        <v>210</v>
      </c>
      <c r="CC29" s="5" t="s">
        <v>210</v>
      </c>
      <c r="CD29" s="5" t="s">
        <v>210</v>
      </c>
      <c r="CE29" s="5" t="s">
        <v>210</v>
      </c>
      <c r="CF29" s="5" t="s">
        <v>210</v>
      </c>
      <c r="CG29" s="5" t="s">
        <v>210</v>
      </c>
      <c r="CH29" s="5" t="s">
        <v>200</v>
      </c>
      <c r="CI29" s="5" t="s">
        <v>203</v>
      </c>
      <c r="CJ29" s="5" t="s">
        <v>204</v>
      </c>
      <c r="CK29" s="5">
        <f>COUNTIF(CB29:CI29, "yes")</f>
        <v>1</v>
      </c>
      <c r="CL29" s="5" t="s">
        <v>216</v>
      </c>
      <c r="CM29" s="5">
        <v>0</v>
      </c>
      <c r="CN29" s="5" t="s">
        <v>217</v>
      </c>
      <c r="CO29" s="5">
        <v>7</v>
      </c>
      <c r="CP29" s="5" t="s">
        <v>216</v>
      </c>
      <c r="CQ29" s="5">
        <v>0</v>
      </c>
      <c r="CR29" s="5" t="s">
        <v>216</v>
      </c>
      <c r="CS29" s="5">
        <v>0</v>
      </c>
      <c r="CT29" s="5" t="s">
        <v>216</v>
      </c>
      <c r="CU29" s="5">
        <v>0</v>
      </c>
      <c r="CV29" s="5" t="s">
        <v>216</v>
      </c>
      <c r="CW29" s="5">
        <v>0</v>
      </c>
      <c r="CX29" s="5" t="s">
        <v>216</v>
      </c>
      <c r="CY29" s="5">
        <v>0</v>
      </c>
      <c r="CZ29" s="5" t="s">
        <v>216</v>
      </c>
      <c r="DA29" s="5">
        <v>0</v>
      </c>
      <c r="DB29" s="5" t="s">
        <v>216</v>
      </c>
      <c r="DC29" s="5">
        <v>0</v>
      </c>
      <c r="DD29" s="5" t="s">
        <v>216</v>
      </c>
      <c r="DE29" s="5" t="s">
        <v>204</v>
      </c>
      <c r="DF29" s="5" t="s">
        <v>742</v>
      </c>
      <c r="DG29" s="5" t="s">
        <v>210</v>
      </c>
      <c r="DH29" s="5" t="s">
        <v>210</v>
      </c>
      <c r="DI29" s="5" t="s">
        <v>210</v>
      </c>
      <c r="DJ29" s="5" t="s">
        <v>208</v>
      </c>
      <c r="DK29" s="5" t="s">
        <v>208</v>
      </c>
      <c r="DL29" s="5" t="s">
        <v>200</v>
      </c>
      <c r="DM29" s="5" t="s">
        <v>203</v>
      </c>
      <c r="DN29" s="5" t="s">
        <v>204</v>
      </c>
      <c r="DO29" s="5" t="s">
        <v>210</v>
      </c>
      <c r="DP29" s="5" t="s">
        <v>219</v>
      </c>
      <c r="DQ29" s="5" t="s">
        <v>204</v>
      </c>
      <c r="DR29" s="5" t="s">
        <v>203</v>
      </c>
      <c r="DS29" s="5" t="s">
        <v>204</v>
      </c>
      <c r="DT29" s="5" t="s">
        <v>210</v>
      </c>
      <c r="DU29" s="5" t="s">
        <v>219</v>
      </c>
      <c r="DV29" s="5" t="s">
        <v>204</v>
      </c>
      <c r="DW29" s="5" t="s">
        <v>208</v>
      </c>
      <c r="DX29" s="5" t="s">
        <v>743</v>
      </c>
      <c r="DY29" s="5" t="s">
        <v>210</v>
      </c>
      <c r="DZ29" s="5" t="s">
        <v>221</v>
      </c>
      <c r="EA29" s="5" t="s">
        <v>744</v>
      </c>
      <c r="EB29" s="5" t="s">
        <v>203</v>
      </c>
      <c r="EC29" s="5" t="s">
        <v>204</v>
      </c>
      <c r="ED29" s="5" t="s">
        <v>210</v>
      </c>
      <c r="EE29" s="5" t="s">
        <v>219</v>
      </c>
      <c r="EF29" s="5" t="s">
        <v>204</v>
      </c>
      <c r="EG29" s="5" t="s">
        <v>200</v>
      </c>
      <c r="EH29" s="5" t="s">
        <v>745</v>
      </c>
      <c r="EI29" s="5" t="s">
        <v>210</v>
      </c>
      <c r="EJ29" s="5" t="s">
        <v>221</v>
      </c>
      <c r="EK29" s="5" t="s">
        <v>699</v>
      </c>
      <c r="EL29" s="5" t="s">
        <v>208</v>
      </c>
      <c r="EM29" s="5" t="s">
        <v>746</v>
      </c>
      <c r="EN29" s="5" t="s">
        <v>210</v>
      </c>
      <c r="EO29" s="5" t="s">
        <v>221</v>
      </c>
      <c r="EP29" s="5" t="s">
        <v>747</v>
      </c>
      <c r="EQ29" s="5" t="s">
        <v>208</v>
      </c>
      <c r="ER29" s="5" t="s">
        <v>748</v>
      </c>
      <c r="ES29" s="79" t="s">
        <v>749</v>
      </c>
      <c r="ET29" s="20" t="s">
        <v>529</v>
      </c>
      <c r="EU29" s="5" t="s">
        <v>204</v>
      </c>
      <c r="EV29" s="80" t="s">
        <v>371</v>
      </c>
      <c r="EW29" s="80" t="s">
        <v>371</v>
      </c>
      <c r="EX29" s="80" t="s">
        <v>371</v>
      </c>
      <c r="EY29" s="5" t="s">
        <v>262</v>
      </c>
      <c r="EZ29" s="5" t="s">
        <v>228</v>
      </c>
      <c r="FA29" s="5" t="s">
        <v>208</v>
      </c>
      <c r="FB29" s="5" t="s">
        <v>750</v>
      </c>
      <c r="FC29" s="5" t="s">
        <v>208</v>
      </c>
      <c r="FD29" s="5" t="s">
        <v>315</v>
      </c>
      <c r="FE29" s="5">
        <f>AMSTAR!BG27</f>
        <v>13</v>
      </c>
      <c r="FF29" s="5">
        <f>AMSTAR!BF27</f>
        <v>9.5</v>
      </c>
      <c r="FG29" s="34">
        <f t="shared" si="1"/>
        <v>0.73076923076923073</v>
      </c>
    </row>
    <row r="30" spans="1:163">
      <c r="A30" s="5"/>
      <c r="B30" s="12">
        <v>12798</v>
      </c>
      <c r="C30" s="14" t="s">
        <v>751</v>
      </c>
      <c r="D30" s="14">
        <v>2019</v>
      </c>
      <c r="E30" s="14" t="s">
        <v>752</v>
      </c>
      <c r="F30" s="14" t="s">
        <v>233</v>
      </c>
      <c r="G30" s="5" t="s">
        <v>753</v>
      </c>
      <c r="H30" s="5" t="s">
        <v>198</v>
      </c>
      <c r="I30" s="5">
        <v>7</v>
      </c>
      <c r="J30" s="5" t="s">
        <v>754</v>
      </c>
      <c r="K30" s="5" t="s">
        <v>208</v>
      </c>
      <c r="L30" s="5" t="s">
        <v>201</v>
      </c>
      <c r="M30" s="5" t="s">
        <v>209</v>
      </c>
      <c r="N30" s="5">
        <v>1992</v>
      </c>
      <c r="O30" s="5">
        <v>2017</v>
      </c>
      <c r="P30" s="5" t="s">
        <v>210</v>
      </c>
      <c r="Q30" s="5" t="s">
        <v>755</v>
      </c>
      <c r="R30" s="5" t="s">
        <v>756</v>
      </c>
      <c r="S30" s="5" t="s">
        <v>757</v>
      </c>
      <c r="T30" s="5" t="s">
        <v>241</v>
      </c>
      <c r="U30" s="5" t="s">
        <v>758</v>
      </c>
      <c r="V30" s="5" t="s">
        <v>200</v>
      </c>
      <c r="W30" s="5" t="s">
        <v>200</v>
      </c>
      <c r="X30" s="5">
        <v>29</v>
      </c>
      <c r="Y30" s="5">
        <v>29</v>
      </c>
      <c r="Z30" s="5">
        <v>11</v>
      </c>
      <c r="AA30" s="5" t="s">
        <v>759</v>
      </c>
      <c r="AB30" s="5">
        <v>143</v>
      </c>
      <c r="AC30" s="5">
        <v>36</v>
      </c>
      <c r="AD30" s="5">
        <v>39</v>
      </c>
      <c r="AE30" s="5" t="s">
        <v>209</v>
      </c>
      <c r="AF30" s="5" t="s">
        <v>209</v>
      </c>
      <c r="AG30" s="5" t="s">
        <v>760</v>
      </c>
      <c r="AH30" s="5" t="s">
        <v>761</v>
      </c>
      <c r="AI30" s="5">
        <f t="shared" si="2"/>
        <v>2</v>
      </c>
      <c r="AJ30" s="5" t="s">
        <v>208</v>
      </c>
      <c r="AK30" s="5" t="s">
        <v>762</v>
      </c>
      <c r="AL30" s="5" t="s">
        <v>208</v>
      </c>
      <c r="AM30" s="5" t="s">
        <v>763</v>
      </c>
      <c r="AN30" s="5" t="s">
        <v>203</v>
      </c>
      <c r="AO30" s="5" t="s">
        <v>204</v>
      </c>
      <c r="AP30" s="5" t="s">
        <v>203</v>
      </c>
      <c r="AQ30" s="5" t="s">
        <v>203</v>
      </c>
      <c r="AR30" s="5" t="s">
        <v>203</v>
      </c>
      <c r="AS30" s="5" t="s">
        <v>203</v>
      </c>
      <c r="AT30" s="5" t="s">
        <v>203</v>
      </c>
      <c r="AU30" s="5">
        <v>0</v>
      </c>
      <c r="AV30" s="5">
        <v>3</v>
      </c>
      <c r="AW30" s="5" t="s">
        <v>764</v>
      </c>
      <c r="AX30" s="5">
        <v>2</v>
      </c>
      <c r="AY30" s="5" t="s">
        <v>765</v>
      </c>
      <c r="AZ30" s="5">
        <v>0</v>
      </c>
      <c r="BA30" s="5" t="s">
        <v>204</v>
      </c>
      <c r="BB30" s="5">
        <v>9</v>
      </c>
      <c r="BC30" s="5" t="s">
        <v>766</v>
      </c>
      <c r="BD30" s="5">
        <v>0</v>
      </c>
      <c r="BE30" s="5" t="s">
        <v>204</v>
      </c>
      <c r="BF30" s="5">
        <v>0</v>
      </c>
      <c r="BG30" s="5" t="s">
        <v>204</v>
      </c>
      <c r="BH30" s="5">
        <v>0</v>
      </c>
      <c r="BI30" s="5" t="s">
        <v>204</v>
      </c>
      <c r="BJ30" s="5">
        <v>0</v>
      </c>
      <c r="BK30" s="5" t="s">
        <v>204</v>
      </c>
      <c r="BL30" s="5" t="s">
        <v>249</v>
      </c>
      <c r="BM30" s="5" t="s">
        <v>767</v>
      </c>
      <c r="BN30" s="5" t="s">
        <v>203</v>
      </c>
      <c r="BO30" s="5" t="s">
        <v>203</v>
      </c>
      <c r="BP30" s="5" t="s">
        <v>203</v>
      </c>
      <c r="BQ30" s="5" t="s">
        <v>203</v>
      </c>
      <c r="BR30" s="5" t="s">
        <v>203</v>
      </c>
      <c r="BS30" s="5" t="s">
        <v>203</v>
      </c>
      <c r="BT30" s="5" t="s">
        <v>208</v>
      </c>
      <c r="BU30" s="5" t="s">
        <v>768</v>
      </c>
      <c r="BV30" s="5">
        <f>COUNTIF(BN30:BT30, "yes")</f>
        <v>1</v>
      </c>
      <c r="BW30" s="5" t="s">
        <v>203</v>
      </c>
      <c r="BX30" s="5" t="s">
        <v>203</v>
      </c>
      <c r="BY30" s="5" t="s">
        <v>203</v>
      </c>
      <c r="BZ30" s="5" t="s">
        <v>204</v>
      </c>
      <c r="CA30" s="5">
        <f>COUNTIF(BW30:BY30, "yes")</f>
        <v>0</v>
      </c>
      <c r="CB30" s="5" t="s">
        <v>203</v>
      </c>
      <c r="CC30" s="5" t="s">
        <v>203</v>
      </c>
      <c r="CD30" s="5" t="s">
        <v>203</v>
      </c>
      <c r="CE30" s="5" t="s">
        <v>203</v>
      </c>
      <c r="CF30" s="5" t="s">
        <v>203</v>
      </c>
      <c r="CG30" s="5" t="s">
        <v>203</v>
      </c>
      <c r="CH30" s="5" t="s">
        <v>203</v>
      </c>
      <c r="CI30" s="5" t="s">
        <v>203</v>
      </c>
      <c r="CJ30" s="5" t="s">
        <v>204</v>
      </c>
      <c r="CK30" s="5">
        <f>COUNTIF(CB30:CI30, "yes")</f>
        <v>0</v>
      </c>
      <c r="CL30" s="5" t="s">
        <v>216</v>
      </c>
      <c r="CM30" s="5">
        <v>0</v>
      </c>
      <c r="CN30" s="5" t="s">
        <v>217</v>
      </c>
      <c r="CO30" s="5">
        <v>1</v>
      </c>
      <c r="CP30" s="5" t="s">
        <v>217</v>
      </c>
      <c r="CQ30" s="5">
        <v>2</v>
      </c>
      <c r="CR30" s="5" t="s">
        <v>251</v>
      </c>
      <c r="CS30" s="5">
        <v>0</v>
      </c>
      <c r="CT30" s="5" t="s">
        <v>251</v>
      </c>
      <c r="CU30" s="5">
        <v>0</v>
      </c>
      <c r="CV30" s="5" t="s">
        <v>217</v>
      </c>
      <c r="CW30" s="5">
        <v>7</v>
      </c>
      <c r="CX30" s="5" t="s">
        <v>251</v>
      </c>
      <c r="CY30" s="5">
        <v>0</v>
      </c>
      <c r="CZ30" s="5" t="s">
        <v>217</v>
      </c>
      <c r="DA30" s="5">
        <v>1</v>
      </c>
      <c r="DB30" s="5" t="s">
        <v>252</v>
      </c>
      <c r="DC30" s="5">
        <v>0</v>
      </c>
      <c r="DD30" s="5" t="s">
        <v>216</v>
      </c>
      <c r="DE30" s="5" t="s">
        <v>204</v>
      </c>
      <c r="DF30" s="5" t="s">
        <v>204</v>
      </c>
      <c r="DG30" s="5" t="s">
        <v>200</v>
      </c>
      <c r="DH30" s="5" t="s">
        <v>208</v>
      </c>
      <c r="DI30" s="5" t="s">
        <v>254</v>
      </c>
      <c r="DJ30" s="5" t="s">
        <v>254</v>
      </c>
      <c r="DK30" s="5" t="s">
        <v>254</v>
      </c>
      <c r="DL30" s="5" t="s">
        <v>254</v>
      </c>
      <c r="DM30" s="5" t="s">
        <v>208</v>
      </c>
      <c r="DN30" s="5" t="s">
        <v>769</v>
      </c>
      <c r="DO30" s="5" t="s">
        <v>210</v>
      </c>
      <c r="DP30" s="5" t="s">
        <v>221</v>
      </c>
      <c r="DQ30" s="5" t="s">
        <v>770</v>
      </c>
      <c r="DR30" s="5" t="s">
        <v>203</v>
      </c>
      <c r="DS30" s="5" t="s">
        <v>204</v>
      </c>
      <c r="DT30" s="5" t="s">
        <v>219</v>
      </c>
      <c r="DU30" s="5" t="s">
        <v>219</v>
      </c>
      <c r="DV30" s="5" t="s">
        <v>204</v>
      </c>
      <c r="DW30" s="5" t="s">
        <v>203</v>
      </c>
      <c r="DX30" s="5" t="s">
        <v>204</v>
      </c>
      <c r="DY30" s="5" t="s">
        <v>219</v>
      </c>
      <c r="DZ30" s="5" t="s">
        <v>219</v>
      </c>
      <c r="EA30" s="5" t="s">
        <v>204</v>
      </c>
      <c r="EB30" s="5" t="s">
        <v>203</v>
      </c>
      <c r="EC30" s="5" t="s">
        <v>204</v>
      </c>
      <c r="ED30" s="5" t="s">
        <v>219</v>
      </c>
      <c r="EE30" s="5" t="s">
        <v>219</v>
      </c>
      <c r="EF30" s="5" t="s">
        <v>204</v>
      </c>
      <c r="EG30" s="5" t="s">
        <v>208</v>
      </c>
      <c r="EH30" s="5" t="s">
        <v>771</v>
      </c>
      <c r="EI30" s="5" t="s">
        <v>210</v>
      </c>
      <c r="EJ30" s="5" t="s">
        <v>285</v>
      </c>
      <c r="EK30" s="5" t="s">
        <v>633</v>
      </c>
      <c r="EL30" s="5" t="s">
        <v>203</v>
      </c>
      <c r="EM30" s="5" t="s">
        <v>204</v>
      </c>
      <c r="EN30" s="5" t="s">
        <v>210</v>
      </c>
      <c r="EO30" s="5" t="s">
        <v>219</v>
      </c>
      <c r="EP30" s="5" t="s">
        <v>204</v>
      </c>
      <c r="EQ30" s="5" t="s">
        <v>200</v>
      </c>
      <c r="ER30" s="5" t="s">
        <v>772</v>
      </c>
      <c r="ES30" s="79" t="s">
        <v>241</v>
      </c>
      <c r="ET30" s="20" t="s">
        <v>292</v>
      </c>
      <c r="EU30" s="5" t="s">
        <v>773</v>
      </c>
      <c r="EV30" s="80" t="s">
        <v>371</v>
      </c>
      <c r="EW30" s="80" t="s">
        <v>371</v>
      </c>
      <c r="EX30" s="80" t="s">
        <v>371</v>
      </c>
      <c r="EY30" s="5" t="s">
        <v>262</v>
      </c>
      <c r="EZ30" s="5" t="s">
        <v>228</v>
      </c>
      <c r="FA30" s="5" t="s">
        <v>208</v>
      </c>
      <c r="FB30" s="5" t="s">
        <v>774</v>
      </c>
      <c r="FC30" s="5" t="s">
        <v>208</v>
      </c>
      <c r="FD30" s="5" t="s">
        <v>315</v>
      </c>
      <c r="FE30" s="5">
        <f>AMSTAR!BG28</f>
        <v>13</v>
      </c>
      <c r="FF30" s="5">
        <f>AMSTAR!BF28</f>
        <v>1.5</v>
      </c>
      <c r="FG30" s="34">
        <f t="shared" si="1"/>
        <v>0.11538461538461539</v>
      </c>
    </row>
    <row r="31" spans="1:163">
      <c r="A31" s="5"/>
      <c r="B31" s="12"/>
      <c r="C31" s="14" t="s">
        <v>775</v>
      </c>
      <c r="D31" s="14">
        <v>2016</v>
      </c>
      <c r="E31" s="14" t="s">
        <v>776</v>
      </c>
      <c r="F31" s="14" t="s">
        <v>233</v>
      </c>
      <c r="G31" s="5" t="s">
        <v>777</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79"/>
      <c r="ET31" s="20"/>
      <c r="EU31" s="5"/>
      <c r="EV31" s="80"/>
      <c r="EW31" s="80"/>
      <c r="EX31" s="80"/>
      <c r="EY31" s="5"/>
      <c r="EZ31" s="5"/>
      <c r="FA31" s="5"/>
      <c r="FB31" s="5"/>
      <c r="FC31" s="5"/>
      <c r="FD31" s="5"/>
      <c r="FE31" s="5"/>
      <c r="FF31" s="5"/>
      <c r="FG31" s="34"/>
    </row>
    <row r="32" spans="1:163">
      <c r="A32" s="5"/>
      <c r="B32" s="12">
        <v>8970</v>
      </c>
      <c r="C32" s="14" t="s">
        <v>775</v>
      </c>
      <c r="D32" s="14">
        <v>2018</v>
      </c>
      <c r="E32" s="14" t="s">
        <v>778</v>
      </c>
      <c r="F32" s="14" t="s">
        <v>233</v>
      </c>
      <c r="G32" s="5" t="s">
        <v>779</v>
      </c>
      <c r="H32" s="5" t="s">
        <v>198</v>
      </c>
      <c r="I32" s="5">
        <v>9</v>
      </c>
      <c r="J32" s="5" t="s">
        <v>780</v>
      </c>
      <c r="K32" s="5" t="s">
        <v>200</v>
      </c>
      <c r="L32" s="5" t="s">
        <v>236</v>
      </c>
      <c r="M32" s="5" t="s">
        <v>781</v>
      </c>
      <c r="N32" s="5" t="s">
        <v>202</v>
      </c>
      <c r="O32" s="5">
        <v>2016</v>
      </c>
      <c r="P32" s="5" t="s">
        <v>203</v>
      </c>
      <c r="Q32" s="5" t="s">
        <v>204</v>
      </c>
      <c r="R32" s="5" t="s">
        <v>782</v>
      </c>
      <c r="S32" s="90" t="s">
        <v>783</v>
      </c>
      <c r="T32" s="5" t="s">
        <v>207</v>
      </c>
      <c r="U32" s="5" t="s">
        <v>323</v>
      </c>
      <c r="V32" s="5" t="s">
        <v>208</v>
      </c>
      <c r="W32" s="5" t="s">
        <v>208</v>
      </c>
      <c r="X32" s="5">
        <v>32</v>
      </c>
      <c r="Y32" s="5">
        <v>33</v>
      </c>
      <c r="Z32" s="5">
        <v>30</v>
      </c>
      <c r="AA32" s="5" t="s">
        <v>784</v>
      </c>
      <c r="AB32" s="5">
        <v>653</v>
      </c>
      <c r="AC32" s="5">
        <v>514</v>
      </c>
      <c r="AD32" s="5">
        <v>139</v>
      </c>
      <c r="AE32" s="5" t="s">
        <v>209</v>
      </c>
      <c r="AF32" s="5" t="s">
        <v>209</v>
      </c>
      <c r="AG32" s="5" t="s">
        <v>785</v>
      </c>
      <c r="AH32" s="5" t="s">
        <v>204</v>
      </c>
      <c r="AI32" s="5">
        <f t="shared" si="2"/>
        <v>1</v>
      </c>
      <c r="AJ32" s="5" t="s">
        <v>208</v>
      </c>
      <c r="AK32" s="5" t="s">
        <v>786</v>
      </c>
      <c r="AL32" s="5" t="s">
        <v>203</v>
      </c>
      <c r="AM32" s="5" t="s">
        <v>204</v>
      </c>
      <c r="AN32" s="5" t="s">
        <v>203</v>
      </c>
      <c r="AO32" s="5" t="s">
        <v>204</v>
      </c>
      <c r="AP32" s="5" t="s">
        <v>203</v>
      </c>
      <c r="AQ32" s="5" t="s">
        <v>203</v>
      </c>
      <c r="AR32" s="5" t="s">
        <v>203</v>
      </c>
      <c r="AS32" s="5" t="s">
        <v>203</v>
      </c>
      <c r="AT32" s="5" t="s">
        <v>203</v>
      </c>
      <c r="AU32" s="5">
        <v>0</v>
      </c>
      <c r="AV32" s="5">
        <v>4</v>
      </c>
      <c r="AW32" s="5" t="s">
        <v>787</v>
      </c>
      <c r="AX32" s="5">
        <v>5</v>
      </c>
      <c r="AY32" s="5" t="s">
        <v>788</v>
      </c>
      <c r="AZ32" s="5">
        <v>0</v>
      </c>
      <c r="BA32" s="5" t="s">
        <v>204</v>
      </c>
      <c r="BB32" s="5">
        <v>21</v>
      </c>
      <c r="BC32" s="5" t="s">
        <v>789</v>
      </c>
      <c r="BD32" s="5">
        <v>0</v>
      </c>
      <c r="BE32" s="5" t="s">
        <v>204</v>
      </c>
      <c r="BF32" s="5">
        <v>0</v>
      </c>
      <c r="BG32" s="5" t="s">
        <v>204</v>
      </c>
      <c r="BH32" s="5">
        <v>0</v>
      </c>
      <c r="BI32" s="5" t="s">
        <v>204</v>
      </c>
      <c r="BJ32" s="5">
        <v>0</v>
      </c>
      <c r="BK32" s="5" t="s">
        <v>204</v>
      </c>
      <c r="BL32" s="5" t="s">
        <v>249</v>
      </c>
      <c r="BM32" s="5" t="s">
        <v>790</v>
      </c>
      <c r="BN32" s="5" t="s">
        <v>208</v>
      </c>
      <c r="BO32" s="5" t="s">
        <v>208</v>
      </c>
      <c r="BP32" s="5" t="s">
        <v>203</v>
      </c>
      <c r="BQ32" s="5" t="s">
        <v>203</v>
      </c>
      <c r="BR32" s="5" t="s">
        <v>203</v>
      </c>
      <c r="BS32" s="5" t="s">
        <v>203</v>
      </c>
      <c r="BT32" s="5" t="s">
        <v>203</v>
      </c>
      <c r="BU32" s="5" t="s">
        <v>204</v>
      </c>
      <c r="BV32" s="5">
        <f>COUNTIF(BN32:BT32, "yes")</f>
        <v>2</v>
      </c>
      <c r="BW32" s="5" t="s">
        <v>203</v>
      </c>
      <c r="BX32" s="5" t="s">
        <v>203</v>
      </c>
      <c r="BY32" s="5" t="s">
        <v>203</v>
      </c>
      <c r="BZ32" s="5" t="s">
        <v>204</v>
      </c>
      <c r="CA32" s="5">
        <f>COUNTIF(BW32:BY32, "yes")</f>
        <v>0</v>
      </c>
      <c r="CB32" s="5" t="s">
        <v>203</v>
      </c>
      <c r="CC32" s="5" t="s">
        <v>200</v>
      </c>
      <c r="CD32" s="5" t="s">
        <v>203</v>
      </c>
      <c r="CE32" s="5" t="s">
        <v>208</v>
      </c>
      <c r="CF32" s="5" t="s">
        <v>208</v>
      </c>
      <c r="CG32" s="5" t="s">
        <v>200</v>
      </c>
      <c r="CH32" s="5" t="s">
        <v>203</v>
      </c>
      <c r="CI32" s="5" t="s">
        <v>203</v>
      </c>
      <c r="CJ32" s="5" t="s">
        <v>204</v>
      </c>
      <c r="CK32" s="5">
        <f>COUNTIF(CB32:CI32, "yes")</f>
        <v>4</v>
      </c>
      <c r="CL32" s="5" t="s">
        <v>216</v>
      </c>
      <c r="CM32" s="5">
        <v>0</v>
      </c>
      <c r="CN32" s="5" t="s">
        <v>217</v>
      </c>
      <c r="CO32" s="5">
        <v>8</v>
      </c>
      <c r="CP32" s="5" t="s">
        <v>251</v>
      </c>
      <c r="CQ32" s="5">
        <v>6</v>
      </c>
      <c r="CR32" s="5" t="s">
        <v>217</v>
      </c>
      <c r="CS32" s="5">
        <v>16</v>
      </c>
      <c r="CT32" s="5" t="s">
        <v>216</v>
      </c>
      <c r="CU32" s="5">
        <v>0</v>
      </c>
      <c r="CV32" s="5" t="s">
        <v>216</v>
      </c>
      <c r="CW32" s="5">
        <v>0</v>
      </c>
      <c r="CX32" s="5" t="s">
        <v>216</v>
      </c>
      <c r="CY32" s="5">
        <v>0</v>
      </c>
      <c r="CZ32" s="5" t="s">
        <v>216</v>
      </c>
      <c r="DA32" s="5">
        <v>0</v>
      </c>
      <c r="DB32" s="5" t="s">
        <v>216</v>
      </c>
      <c r="DC32" s="5">
        <v>0</v>
      </c>
      <c r="DD32" s="5" t="s">
        <v>216</v>
      </c>
      <c r="DE32" s="5">
        <v>0</v>
      </c>
      <c r="DF32" s="5" t="s">
        <v>791</v>
      </c>
      <c r="DG32" s="5" t="s">
        <v>203</v>
      </c>
      <c r="DH32" s="5" t="s">
        <v>208</v>
      </c>
      <c r="DI32" s="5" t="s">
        <v>208</v>
      </c>
      <c r="DJ32" s="5" t="s">
        <v>208</v>
      </c>
      <c r="DK32" s="5" t="s">
        <v>210</v>
      </c>
      <c r="DL32" s="5" t="s">
        <v>200</v>
      </c>
      <c r="DM32" s="5" t="s">
        <v>200</v>
      </c>
      <c r="DN32" s="5" t="s">
        <v>792</v>
      </c>
      <c r="DO32" s="5" t="s">
        <v>210</v>
      </c>
      <c r="DP32" s="5" t="s">
        <v>334</v>
      </c>
      <c r="DQ32" s="5" t="s">
        <v>793</v>
      </c>
      <c r="DR32" s="5" t="s">
        <v>203</v>
      </c>
      <c r="DS32" s="5" t="s">
        <v>204</v>
      </c>
      <c r="DT32" s="5" t="s">
        <v>204</v>
      </c>
      <c r="DU32" s="5" t="s">
        <v>219</v>
      </c>
      <c r="DV32" s="5" t="s">
        <v>204</v>
      </c>
      <c r="DW32" s="5" t="s">
        <v>200</v>
      </c>
      <c r="DX32" s="5" t="s">
        <v>794</v>
      </c>
      <c r="DY32" s="5" t="s">
        <v>219</v>
      </c>
      <c r="DZ32" s="5" t="s">
        <v>285</v>
      </c>
      <c r="EA32" s="5" t="s">
        <v>795</v>
      </c>
      <c r="EB32" s="5" t="s">
        <v>203</v>
      </c>
      <c r="EC32" s="5" t="s">
        <v>204</v>
      </c>
      <c r="ED32" s="5" t="s">
        <v>219</v>
      </c>
      <c r="EE32" s="5" t="s">
        <v>219</v>
      </c>
      <c r="EF32" s="5" t="s">
        <v>204</v>
      </c>
      <c r="EG32" s="5" t="s">
        <v>203</v>
      </c>
      <c r="EH32" s="5" t="s">
        <v>204</v>
      </c>
      <c r="EI32" s="5" t="s">
        <v>219</v>
      </c>
      <c r="EJ32" s="5" t="s">
        <v>219</v>
      </c>
      <c r="EK32" s="5" t="s">
        <v>204</v>
      </c>
      <c r="EL32" s="5" t="s">
        <v>208</v>
      </c>
      <c r="EM32" s="5" t="s">
        <v>796</v>
      </c>
      <c r="EN32" s="5" t="s">
        <v>210</v>
      </c>
      <c r="EO32" s="5" t="s">
        <v>285</v>
      </c>
      <c r="EP32" s="5" t="s">
        <v>797</v>
      </c>
      <c r="EQ32" s="5" t="s">
        <v>200</v>
      </c>
      <c r="ER32" s="5" t="s">
        <v>798</v>
      </c>
      <c r="ES32" s="79" t="s">
        <v>241</v>
      </c>
      <c r="ET32" s="20" t="s">
        <v>529</v>
      </c>
      <c r="EU32" s="5" t="s">
        <v>799</v>
      </c>
      <c r="EV32" s="80" t="s">
        <v>371</v>
      </c>
      <c r="EW32" s="5" t="s">
        <v>371</v>
      </c>
      <c r="EX32" s="5" t="s">
        <v>371</v>
      </c>
      <c r="EY32" s="5" t="s">
        <v>227</v>
      </c>
      <c r="EZ32" s="5" t="s">
        <v>228</v>
      </c>
      <c r="FA32" s="5" t="s">
        <v>208</v>
      </c>
      <c r="FB32" s="5" t="s">
        <v>800</v>
      </c>
      <c r="FC32" s="5" t="s">
        <v>203</v>
      </c>
      <c r="FD32" s="5" t="s">
        <v>204</v>
      </c>
      <c r="FE32" s="5">
        <f>AMSTAR!BG29</f>
        <v>13</v>
      </c>
      <c r="FF32" s="5">
        <f>AMSTAR!BF29</f>
        <v>5.5</v>
      </c>
      <c r="FG32" s="34">
        <f t="shared" si="1"/>
        <v>0.42307692307692307</v>
      </c>
    </row>
    <row r="33" spans="1:163">
      <c r="A33" s="5"/>
      <c r="B33" s="12">
        <v>12786</v>
      </c>
      <c r="C33" s="14" t="s">
        <v>801</v>
      </c>
      <c r="D33" s="14">
        <v>2019</v>
      </c>
      <c r="E33" s="14" t="s">
        <v>802</v>
      </c>
      <c r="F33" s="14" t="s">
        <v>233</v>
      </c>
      <c r="G33" s="5" t="s">
        <v>803</v>
      </c>
      <c r="H33" s="5" t="s">
        <v>198</v>
      </c>
      <c r="I33" s="5">
        <v>3</v>
      </c>
      <c r="J33" s="5" t="s">
        <v>804</v>
      </c>
      <c r="K33" s="5" t="s">
        <v>208</v>
      </c>
      <c r="L33" s="5" t="s">
        <v>236</v>
      </c>
      <c r="M33" s="5" t="s">
        <v>805</v>
      </c>
      <c r="N33" s="5">
        <v>2013</v>
      </c>
      <c r="O33" s="5">
        <v>2019</v>
      </c>
      <c r="P33" s="5" t="s">
        <v>200</v>
      </c>
      <c r="Q33" s="5" t="s">
        <v>806</v>
      </c>
      <c r="R33" s="5"/>
      <c r="S33" s="5" t="s">
        <v>807</v>
      </c>
      <c r="T33" s="5" t="s">
        <v>241</v>
      </c>
      <c r="U33" s="5" t="s">
        <v>808</v>
      </c>
      <c r="V33" s="5" t="s">
        <v>200</v>
      </c>
      <c r="W33" s="5" t="s">
        <v>210</v>
      </c>
      <c r="X33" s="5">
        <v>24</v>
      </c>
      <c r="Y33" s="5">
        <v>24</v>
      </c>
      <c r="Z33" s="5">
        <v>11</v>
      </c>
      <c r="AA33" s="5" t="s">
        <v>809</v>
      </c>
      <c r="AB33" s="5">
        <v>240</v>
      </c>
      <c r="AC33" s="5" t="s">
        <v>209</v>
      </c>
      <c r="AD33" s="5" t="s">
        <v>209</v>
      </c>
      <c r="AE33" s="5">
        <v>11</v>
      </c>
      <c r="AF33" s="5">
        <v>64</v>
      </c>
      <c r="AG33" s="5" t="s">
        <v>810</v>
      </c>
      <c r="AH33" s="5" t="s">
        <v>811</v>
      </c>
      <c r="AI33" s="5">
        <f t="shared" si="2"/>
        <v>1</v>
      </c>
      <c r="AJ33" s="5" t="s">
        <v>203</v>
      </c>
      <c r="AK33" s="5" t="s">
        <v>204</v>
      </c>
      <c r="AL33" s="5" t="s">
        <v>200</v>
      </c>
      <c r="AM33" s="5" t="s">
        <v>647</v>
      </c>
      <c r="AN33" s="5" t="s">
        <v>203</v>
      </c>
      <c r="AO33" s="5" t="s">
        <v>204</v>
      </c>
      <c r="AP33" s="5" t="s">
        <v>203</v>
      </c>
      <c r="AQ33" s="5" t="s">
        <v>203</v>
      </c>
      <c r="AR33" s="5" t="s">
        <v>203</v>
      </c>
      <c r="AS33" s="5" t="s">
        <v>203</v>
      </c>
      <c r="AT33" s="5" t="s">
        <v>203</v>
      </c>
      <c r="AU33" s="5">
        <v>2</v>
      </c>
      <c r="AV33" s="5">
        <v>1</v>
      </c>
      <c r="AW33" s="5" t="s">
        <v>812</v>
      </c>
      <c r="AX33" s="5">
        <v>2</v>
      </c>
      <c r="AY33" s="5" t="s">
        <v>813</v>
      </c>
      <c r="AZ33" s="5">
        <v>0</v>
      </c>
      <c r="BA33" s="5" t="s">
        <v>204</v>
      </c>
      <c r="BB33" s="5">
        <v>6</v>
      </c>
      <c r="BC33" s="5" t="s">
        <v>814</v>
      </c>
      <c r="BD33" s="5">
        <v>0</v>
      </c>
      <c r="BE33" s="5" t="s">
        <v>204</v>
      </c>
      <c r="BF33" s="5">
        <v>0</v>
      </c>
      <c r="BG33" s="5" t="s">
        <v>204</v>
      </c>
      <c r="BH33" s="5">
        <v>0</v>
      </c>
      <c r="BI33" s="5" t="s">
        <v>204</v>
      </c>
      <c r="BJ33" s="5">
        <v>0</v>
      </c>
      <c r="BK33" s="5" t="s">
        <v>204</v>
      </c>
      <c r="BL33" s="5" t="s">
        <v>214</v>
      </c>
      <c r="BM33" s="5" t="s">
        <v>815</v>
      </c>
      <c r="BN33" s="5" t="s">
        <v>210</v>
      </c>
      <c r="BO33" s="5" t="s">
        <v>200</v>
      </c>
      <c r="BP33" s="5" t="s">
        <v>200</v>
      </c>
      <c r="BQ33" s="5" t="s">
        <v>203</v>
      </c>
      <c r="BR33" s="5" t="s">
        <v>203</v>
      </c>
      <c r="BS33" s="5" t="s">
        <v>203</v>
      </c>
      <c r="BT33" s="5" t="s">
        <v>208</v>
      </c>
      <c r="BU33" s="5" t="s">
        <v>816</v>
      </c>
      <c r="BV33" s="5">
        <f>COUNTIF(BN33:BT33, "yes")</f>
        <v>3</v>
      </c>
      <c r="BW33" s="5" t="s">
        <v>203</v>
      </c>
      <c r="BX33" s="5" t="s">
        <v>203</v>
      </c>
      <c r="BY33" s="5" t="s">
        <v>203</v>
      </c>
      <c r="BZ33" s="5" t="s">
        <v>204</v>
      </c>
      <c r="CA33" s="5">
        <f>COUNTIF(BW33:BY33, "yes")</f>
        <v>0</v>
      </c>
      <c r="CB33" s="5" t="s">
        <v>200</v>
      </c>
      <c r="CC33" s="5" t="s">
        <v>208</v>
      </c>
      <c r="CD33" s="5" t="s">
        <v>200</v>
      </c>
      <c r="CE33" s="5" t="s">
        <v>210</v>
      </c>
      <c r="CF33" s="5" t="s">
        <v>210</v>
      </c>
      <c r="CG33" s="5" t="s">
        <v>200</v>
      </c>
      <c r="CH33" s="5" t="s">
        <v>200</v>
      </c>
      <c r="CI33" s="5" t="s">
        <v>210</v>
      </c>
      <c r="CJ33" s="5" t="s">
        <v>204</v>
      </c>
      <c r="CK33" s="5">
        <f>COUNTIF(CB33:CI33, "yes")</f>
        <v>5</v>
      </c>
      <c r="CL33" s="5" t="s">
        <v>216</v>
      </c>
      <c r="CM33" s="5">
        <v>0</v>
      </c>
      <c r="CN33" s="5" t="s">
        <v>251</v>
      </c>
      <c r="CO33" s="5">
        <v>0</v>
      </c>
      <c r="CP33" s="5" t="s">
        <v>251</v>
      </c>
      <c r="CQ33" s="5">
        <v>0</v>
      </c>
      <c r="CR33" s="5" t="s">
        <v>217</v>
      </c>
      <c r="CS33" s="5">
        <v>1</v>
      </c>
      <c r="CT33" s="5" t="s">
        <v>251</v>
      </c>
      <c r="CU33" s="5">
        <v>0</v>
      </c>
      <c r="CV33" s="5" t="s">
        <v>217</v>
      </c>
      <c r="CW33" s="5">
        <v>5</v>
      </c>
      <c r="CX33" s="5" t="s">
        <v>217</v>
      </c>
      <c r="CY33" s="5">
        <v>1</v>
      </c>
      <c r="CZ33" s="5" t="s">
        <v>217</v>
      </c>
      <c r="DA33" s="5">
        <v>4</v>
      </c>
      <c r="DB33" s="5" t="s">
        <v>252</v>
      </c>
      <c r="DC33" s="5">
        <v>0</v>
      </c>
      <c r="DD33" s="5" t="s">
        <v>252</v>
      </c>
      <c r="DE33" s="5">
        <v>0</v>
      </c>
      <c r="DF33" s="5" t="s">
        <v>817</v>
      </c>
      <c r="DG33" s="5" t="s">
        <v>200</v>
      </c>
      <c r="DH33" s="5" t="s">
        <v>200</v>
      </c>
      <c r="DI33" s="5" t="s">
        <v>203</v>
      </c>
      <c r="DJ33" s="5" t="s">
        <v>203</v>
      </c>
      <c r="DK33" s="5" t="s">
        <v>203</v>
      </c>
      <c r="DL33" s="5" t="s">
        <v>210</v>
      </c>
      <c r="DM33" s="5" t="s">
        <v>200</v>
      </c>
      <c r="DN33" s="5" t="s">
        <v>818</v>
      </c>
      <c r="DO33" s="5" t="s">
        <v>210</v>
      </c>
      <c r="DP33" s="5" t="s">
        <v>221</v>
      </c>
      <c r="DQ33" s="5" t="s">
        <v>819</v>
      </c>
      <c r="DR33" s="5" t="s">
        <v>203</v>
      </c>
      <c r="DS33" s="5" t="s">
        <v>204</v>
      </c>
      <c r="DT33" s="5" t="s">
        <v>204</v>
      </c>
      <c r="DU33" s="5" t="s">
        <v>219</v>
      </c>
      <c r="DV33" s="5" t="s">
        <v>204</v>
      </c>
      <c r="DW33" s="5" t="s">
        <v>208</v>
      </c>
      <c r="DX33" s="5" t="s">
        <v>820</v>
      </c>
      <c r="DY33" s="5" t="s">
        <v>210</v>
      </c>
      <c r="DZ33" s="5" t="s">
        <v>221</v>
      </c>
      <c r="EA33" s="5" t="s">
        <v>821</v>
      </c>
      <c r="EB33" s="5" t="s">
        <v>208</v>
      </c>
      <c r="EC33" s="5" t="s">
        <v>822</v>
      </c>
      <c r="ED33" s="5" t="s">
        <v>210</v>
      </c>
      <c r="EE33" s="5" t="s">
        <v>254</v>
      </c>
      <c r="EF33" s="5" t="s">
        <v>823</v>
      </c>
      <c r="EG33" s="5" t="s">
        <v>210</v>
      </c>
      <c r="EH33" s="5" t="s">
        <v>204</v>
      </c>
      <c r="EI33" s="5" t="s">
        <v>210</v>
      </c>
      <c r="EJ33" s="5" t="s">
        <v>219</v>
      </c>
      <c r="EK33" s="5" t="s">
        <v>204</v>
      </c>
      <c r="EL33" s="5" t="s">
        <v>210</v>
      </c>
      <c r="EM33" s="5" t="s">
        <v>204</v>
      </c>
      <c r="EN33" s="5" t="s">
        <v>210</v>
      </c>
      <c r="EO33" s="5" t="s">
        <v>219</v>
      </c>
      <c r="EP33" s="5" t="s">
        <v>204</v>
      </c>
      <c r="EQ33" s="5" t="s">
        <v>200</v>
      </c>
      <c r="ER33" s="5" t="s">
        <v>824</v>
      </c>
      <c r="ES33" s="79" t="s">
        <v>825</v>
      </c>
      <c r="ET33" s="20" t="s">
        <v>225</v>
      </c>
      <c r="EU33" s="5" t="s">
        <v>826</v>
      </c>
      <c r="EV33" s="80" t="s">
        <v>371</v>
      </c>
      <c r="EW33" s="80" t="s">
        <v>371</v>
      </c>
      <c r="EX33" s="80" t="s">
        <v>371</v>
      </c>
      <c r="EY33" s="5" t="s">
        <v>262</v>
      </c>
      <c r="EZ33" s="5" t="s">
        <v>228</v>
      </c>
      <c r="FA33" s="5" t="s">
        <v>208</v>
      </c>
      <c r="FB33" s="5" t="s">
        <v>827</v>
      </c>
      <c r="FC33" s="5" t="s">
        <v>203</v>
      </c>
      <c r="FD33" s="5" t="s">
        <v>204</v>
      </c>
      <c r="FE33" s="5">
        <f>AMSTAR!BG30</f>
        <v>13</v>
      </c>
      <c r="FF33" s="5">
        <f>AMSTAR!BF30</f>
        <v>2.5</v>
      </c>
      <c r="FG33" s="34">
        <f t="shared" si="1"/>
        <v>0.19230769230769232</v>
      </c>
    </row>
    <row r="34" spans="1:163">
      <c r="A34" s="5"/>
      <c r="B34" s="12">
        <v>25077</v>
      </c>
      <c r="C34" s="14" t="s">
        <v>828</v>
      </c>
      <c r="D34" s="14">
        <v>2020</v>
      </c>
      <c r="E34" s="14" t="s">
        <v>829</v>
      </c>
      <c r="F34" s="14" t="s">
        <v>233</v>
      </c>
      <c r="G34" s="5" t="s">
        <v>830</v>
      </c>
      <c r="H34" s="5" t="s">
        <v>198</v>
      </c>
      <c r="I34" s="5">
        <v>3</v>
      </c>
      <c r="J34" s="5" t="s">
        <v>831</v>
      </c>
      <c r="K34" s="5" t="s">
        <v>210</v>
      </c>
      <c r="L34" s="5" t="s">
        <v>298</v>
      </c>
      <c r="M34" s="5" t="s">
        <v>832</v>
      </c>
      <c r="N34" s="5" t="s">
        <v>202</v>
      </c>
      <c r="O34" s="5">
        <v>2017</v>
      </c>
      <c r="P34" s="5" t="s">
        <v>210</v>
      </c>
      <c r="Q34" s="5" t="s">
        <v>204</v>
      </c>
      <c r="R34" s="5" t="s">
        <v>833</v>
      </c>
      <c r="S34" s="5" t="s">
        <v>834</v>
      </c>
      <c r="T34" s="5" t="s">
        <v>207</v>
      </c>
      <c r="U34" s="5" t="s">
        <v>204</v>
      </c>
      <c r="V34" s="5" t="s">
        <v>200</v>
      </c>
      <c r="W34" s="5" t="s">
        <v>200</v>
      </c>
      <c r="X34" s="5">
        <v>30</v>
      </c>
      <c r="Y34" s="5">
        <v>30</v>
      </c>
      <c r="Z34" s="5">
        <v>26</v>
      </c>
      <c r="AA34" s="5" t="s">
        <v>835</v>
      </c>
      <c r="AB34" s="5">
        <v>2357</v>
      </c>
      <c r="AC34" s="5" t="s">
        <v>209</v>
      </c>
      <c r="AD34" s="5" t="s">
        <v>209</v>
      </c>
      <c r="AE34" s="5">
        <v>14</v>
      </c>
      <c r="AF34" s="5">
        <v>80</v>
      </c>
      <c r="AG34" s="5" t="s">
        <v>836</v>
      </c>
      <c r="AH34" s="5" t="s">
        <v>204</v>
      </c>
      <c r="AI34" s="5">
        <f t="shared" si="2"/>
        <v>1</v>
      </c>
      <c r="AJ34" s="5" t="s">
        <v>203</v>
      </c>
      <c r="AK34" s="5" t="s">
        <v>204</v>
      </c>
      <c r="AL34" s="5" t="s">
        <v>203</v>
      </c>
      <c r="AM34" s="5" t="s">
        <v>204</v>
      </c>
      <c r="AN34" s="5" t="s">
        <v>208</v>
      </c>
      <c r="AO34" s="5" t="s">
        <v>837</v>
      </c>
      <c r="AP34" s="5" t="s">
        <v>208</v>
      </c>
      <c r="AQ34" s="5" t="s">
        <v>208</v>
      </c>
      <c r="AR34" s="5" t="s">
        <v>208</v>
      </c>
      <c r="AS34" s="5" t="s">
        <v>208</v>
      </c>
      <c r="AT34" s="5" t="s">
        <v>208</v>
      </c>
      <c r="AU34" s="5">
        <v>0</v>
      </c>
      <c r="AV34" s="5">
        <v>4</v>
      </c>
      <c r="AW34" s="32" t="s">
        <v>838</v>
      </c>
      <c r="AX34" s="5">
        <v>6</v>
      </c>
      <c r="AY34" s="5" t="s">
        <v>839</v>
      </c>
      <c r="AZ34" s="5">
        <v>1</v>
      </c>
      <c r="BA34" s="5" t="s">
        <v>840</v>
      </c>
      <c r="BB34" s="5">
        <v>12</v>
      </c>
      <c r="BC34" s="5" t="s">
        <v>841</v>
      </c>
      <c r="BD34" s="5">
        <v>0</v>
      </c>
      <c r="BE34" s="5" t="s">
        <v>204</v>
      </c>
      <c r="BF34" s="5">
        <v>0</v>
      </c>
      <c r="BG34" s="5" t="s">
        <v>204</v>
      </c>
      <c r="BH34" s="5">
        <v>2</v>
      </c>
      <c r="BI34" s="5" t="s">
        <v>842</v>
      </c>
      <c r="BJ34" s="5">
        <v>0</v>
      </c>
      <c r="BK34" s="5" t="s">
        <v>204</v>
      </c>
      <c r="BL34" s="5" t="s">
        <v>328</v>
      </c>
      <c r="BM34" s="5" t="s">
        <v>843</v>
      </c>
      <c r="BN34" s="5" t="s">
        <v>208</v>
      </c>
      <c r="BO34" s="5" t="s">
        <v>208</v>
      </c>
      <c r="BP34" s="5" t="s">
        <v>208</v>
      </c>
      <c r="BQ34" s="5" t="s">
        <v>203</v>
      </c>
      <c r="BR34" s="5" t="s">
        <v>203</v>
      </c>
      <c r="BS34" s="5" t="s">
        <v>200</v>
      </c>
      <c r="BT34" s="5" t="s">
        <v>203</v>
      </c>
      <c r="BU34" s="5" t="s">
        <v>204</v>
      </c>
      <c r="BV34" s="5">
        <f>COUNTIF(BN34:BT34, "yes")</f>
        <v>4</v>
      </c>
      <c r="BW34" s="5" t="s">
        <v>203</v>
      </c>
      <c r="BX34" s="5" t="s">
        <v>203</v>
      </c>
      <c r="BY34" s="5" t="s">
        <v>203</v>
      </c>
      <c r="BZ34" s="5" t="s">
        <v>204</v>
      </c>
      <c r="CA34" s="5">
        <f>COUNTIF(BW34:BY34, "yes")</f>
        <v>0</v>
      </c>
      <c r="CB34" s="5" t="s">
        <v>208</v>
      </c>
      <c r="CC34" s="5" t="s">
        <v>200</v>
      </c>
      <c r="CD34" s="5" t="s">
        <v>200</v>
      </c>
      <c r="CE34" s="5" t="s">
        <v>200</v>
      </c>
      <c r="CF34" s="5" t="s">
        <v>203</v>
      </c>
      <c r="CG34" s="5" t="s">
        <v>210</v>
      </c>
      <c r="CH34" s="5" t="s">
        <v>203</v>
      </c>
      <c r="CI34" s="5" t="s">
        <v>203</v>
      </c>
      <c r="CJ34" s="5" t="s">
        <v>204</v>
      </c>
      <c r="CK34" s="5">
        <f>COUNTIF(CB34:CI34, "yes")</f>
        <v>4</v>
      </c>
      <c r="CL34" s="5" t="s">
        <v>216</v>
      </c>
      <c r="CM34" s="5">
        <v>0</v>
      </c>
      <c r="CN34" s="5" t="s">
        <v>217</v>
      </c>
      <c r="CO34" s="5">
        <v>27</v>
      </c>
      <c r="CP34" s="5" t="s">
        <v>216</v>
      </c>
      <c r="CQ34" s="5">
        <v>0</v>
      </c>
      <c r="CR34" s="5" t="s">
        <v>216</v>
      </c>
      <c r="CS34" s="5">
        <v>0</v>
      </c>
      <c r="CT34" s="5" t="s">
        <v>216</v>
      </c>
      <c r="CU34" s="5">
        <v>0</v>
      </c>
      <c r="CV34" s="5" t="s">
        <v>216</v>
      </c>
      <c r="CW34" s="5">
        <v>0</v>
      </c>
      <c r="CX34" s="5" t="s">
        <v>216</v>
      </c>
      <c r="CY34" s="5">
        <v>0</v>
      </c>
      <c r="CZ34" s="5" t="s">
        <v>216</v>
      </c>
      <c r="DA34" s="5">
        <v>0</v>
      </c>
      <c r="DB34" s="5" t="s">
        <v>216</v>
      </c>
      <c r="DC34" s="5">
        <v>0</v>
      </c>
      <c r="DD34" s="5" t="s">
        <v>216</v>
      </c>
      <c r="DE34" s="5">
        <v>0</v>
      </c>
      <c r="DF34" s="5" t="s">
        <v>844</v>
      </c>
      <c r="DG34" s="5" t="s">
        <v>203</v>
      </c>
      <c r="DH34" s="5" t="s">
        <v>203</v>
      </c>
      <c r="DI34" s="5" t="s">
        <v>208</v>
      </c>
      <c r="DJ34" s="5" t="s">
        <v>208</v>
      </c>
      <c r="DK34" s="5" t="s">
        <v>208</v>
      </c>
      <c r="DL34" s="5" t="s">
        <v>208</v>
      </c>
      <c r="DM34" s="5" t="s">
        <v>203</v>
      </c>
      <c r="DN34" s="5" t="s">
        <v>204</v>
      </c>
      <c r="DO34" s="5" t="s">
        <v>210</v>
      </c>
      <c r="DP34" s="5" t="s">
        <v>219</v>
      </c>
      <c r="DQ34" s="5" t="s">
        <v>204</v>
      </c>
      <c r="DR34" s="5" t="s">
        <v>203</v>
      </c>
      <c r="DS34" s="5" t="s">
        <v>204</v>
      </c>
      <c r="DT34" s="5" t="s">
        <v>204</v>
      </c>
      <c r="DU34" s="5" t="s">
        <v>219</v>
      </c>
      <c r="DV34" s="5" t="s">
        <v>204</v>
      </c>
      <c r="DW34" s="5" t="s">
        <v>208</v>
      </c>
      <c r="DX34" s="5" t="s">
        <v>845</v>
      </c>
      <c r="DY34" s="5" t="s">
        <v>210</v>
      </c>
      <c r="DZ34" s="5" t="s">
        <v>334</v>
      </c>
      <c r="EA34" s="5" t="s">
        <v>846</v>
      </c>
      <c r="EB34" s="5" t="s">
        <v>208</v>
      </c>
      <c r="EC34" s="5" t="s">
        <v>261</v>
      </c>
      <c r="ED34" s="5" t="s">
        <v>210</v>
      </c>
      <c r="EE34" s="5" t="s">
        <v>254</v>
      </c>
      <c r="EF34" s="5" t="s">
        <v>261</v>
      </c>
      <c r="EG34" s="5" t="s">
        <v>210</v>
      </c>
      <c r="EH34" s="5" t="s">
        <v>204</v>
      </c>
      <c r="EI34" s="5" t="s">
        <v>210</v>
      </c>
      <c r="EJ34" s="5" t="s">
        <v>219</v>
      </c>
      <c r="EK34" s="5" t="s">
        <v>204</v>
      </c>
      <c r="EL34" s="5" t="s">
        <v>208</v>
      </c>
      <c r="EM34" s="5" t="s">
        <v>261</v>
      </c>
      <c r="EN34" s="5" t="s">
        <v>210</v>
      </c>
      <c r="EO34" s="5" t="s">
        <v>219</v>
      </c>
      <c r="EP34" s="5" t="s">
        <v>204</v>
      </c>
      <c r="EQ34" s="5" t="s">
        <v>200</v>
      </c>
      <c r="ER34" s="5" t="s">
        <v>847</v>
      </c>
      <c r="ES34" s="79" t="s">
        <v>848</v>
      </c>
      <c r="ET34" s="20" t="s">
        <v>225</v>
      </c>
      <c r="EU34" s="5" t="s">
        <v>849</v>
      </c>
      <c r="EV34" s="80" t="s">
        <v>371</v>
      </c>
      <c r="EW34" s="5" t="s">
        <v>371</v>
      </c>
      <c r="EX34" s="5" t="s">
        <v>371</v>
      </c>
      <c r="EY34" s="5" t="s">
        <v>262</v>
      </c>
      <c r="EZ34" s="5" t="s">
        <v>228</v>
      </c>
      <c r="FA34" s="5" t="s">
        <v>203</v>
      </c>
      <c r="FB34" s="5" t="s">
        <v>204</v>
      </c>
      <c r="FC34" s="5" t="s">
        <v>208</v>
      </c>
      <c r="FD34" s="5" t="s">
        <v>315</v>
      </c>
      <c r="FE34" s="5">
        <f>AMSTAR!BG31</f>
        <v>13</v>
      </c>
      <c r="FF34" s="5">
        <f>AMSTAR!BF31</f>
        <v>6.5</v>
      </c>
      <c r="FG34" s="34">
        <f t="shared" si="1"/>
        <v>0.5</v>
      </c>
    </row>
    <row r="35" spans="1:163">
      <c r="A35" s="5"/>
      <c r="B35" s="14"/>
      <c r="C35" s="14" t="s">
        <v>850</v>
      </c>
      <c r="D35" s="14">
        <v>2011</v>
      </c>
      <c r="E35" s="14" t="s">
        <v>851</v>
      </c>
      <c r="F35" s="14" t="s">
        <v>446</v>
      </c>
      <c r="G35" s="5" t="s">
        <v>852</v>
      </c>
      <c r="H35" s="5" t="s">
        <v>198</v>
      </c>
      <c r="I35" s="5">
        <v>2</v>
      </c>
      <c r="J35" s="5" t="s">
        <v>853</v>
      </c>
      <c r="K35" s="5" t="s">
        <v>208</v>
      </c>
      <c r="L35" s="5" t="s">
        <v>236</v>
      </c>
      <c r="M35" s="5" t="s">
        <v>854</v>
      </c>
      <c r="N35" s="5">
        <v>1970</v>
      </c>
      <c r="O35" s="5">
        <v>2009</v>
      </c>
      <c r="P35" s="5" t="s">
        <v>208</v>
      </c>
      <c r="Q35" s="5" t="s">
        <v>855</v>
      </c>
      <c r="R35" s="5" t="s">
        <v>856</v>
      </c>
      <c r="S35" s="5" t="s">
        <v>857</v>
      </c>
      <c r="T35" s="5" t="s">
        <v>241</v>
      </c>
      <c r="U35" s="5" t="s">
        <v>858</v>
      </c>
      <c r="V35" s="5" t="s">
        <v>200</v>
      </c>
      <c r="W35" s="5" t="s">
        <v>210</v>
      </c>
      <c r="X35" s="5">
        <v>50</v>
      </c>
      <c r="Y35" s="5" t="s">
        <v>241</v>
      </c>
      <c r="Z35" s="5">
        <v>7</v>
      </c>
      <c r="AA35" s="5" t="s">
        <v>859</v>
      </c>
      <c r="AB35" s="5">
        <v>464</v>
      </c>
      <c r="AC35" s="5">
        <v>212</v>
      </c>
      <c r="AD35" s="5">
        <v>252</v>
      </c>
      <c r="AE35" s="5">
        <v>18</v>
      </c>
      <c r="AF35" s="5">
        <v>92</v>
      </c>
      <c r="AG35" s="5" t="s">
        <v>860</v>
      </c>
      <c r="AH35" s="5" t="s">
        <v>204</v>
      </c>
      <c r="AI35" s="5">
        <f t="shared" si="2"/>
        <v>1</v>
      </c>
      <c r="AJ35" s="5" t="s">
        <v>203</v>
      </c>
      <c r="AK35" s="5" t="s">
        <v>204</v>
      </c>
      <c r="AL35" s="5" t="s">
        <v>203</v>
      </c>
      <c r="AM35" s="5" t="s">
        <v>204</v>
      </c>
      <c r="AN35" s="5" t="s">
        <v>208</v>
      </c>
      <c r="AO35" s="5" t="s">
        <v>861</v>
      </c>
      <c r="AP35" s="5" t="s">
        <v>372</v>
      </c>
      <c r="AQ35" s="5" t="s">
        <v>208</v>
      </c>
      <c r="AR35" s="5" t="s">
        <v>203</v>
      </c>
      <c r="AS35" s="5" t="s">
        <v>208</v>
      </c>
      <c r="AT35" s="5" t="s">
        <v>203</v>
      </c>
      <c r="AU35" s="5">
        <v>0</v>
      </c>
      <c r="AV35" s="5">
        <v>0</v>
      </c>
      <c r="AW35" s="5" t="s">
        <v>204</v>
      </c>
      <c r="AX35" s="5">
        <v>2</v>
      </c>
      <c r="AY35" s="5" t="s">
        <v>649</v>
      </c>
      <c r="AZ35" s="5">
        <v>0</v>
      </c>
      <c r="BA35" s="5" t="s">
        <v>204</v>
      </c>
      <c r="BB35" s="5">
        <v>5</v>
      </c>
      <c r="BC35" s="5" t="s">
        <v>862</v>
      </c>
      <c r="BD35" s="5">
        <v>0</v>
      </c>
      <c r="BE35" s="5" t="s">
        <v>204</v>
      </c>
      <c r="BF35" s="5">
        <v>0</v>
      </c>
      <c r="BG35" s="5" t="s">
        <v>204</v>
      </c>
      <c r="BH35" s="5">
        <v>0</v>
      </c>
      <c r="BI35" s="5" t="s">
        <v>204</v>
      </c>
      <c r="BJ35" s="5">
        <v>0</v>
      </c>
      <c r="BK35" s="5" t="s">
        <v>204</v>
      </c>
      <c r="BL35" s="5" t="s">
        <v>249</v>
      </c>
      <c r="BM35" s="5" t="s">
        <v>863</v>
      </c>
      <c r="BN35" s="5" t="s">
        <v>208</v>
      </c>
      <c r="BO35" s="5" t="s">
        <v>208</v>
      </c>
      <c r="BP35" s="5" t="s">
        <v>200</v>
      </c>
      <c r="BQ35" s="5" t="s">
        <v>210</v>
      </c>
      <c r="BR35" s="5" t="s">
        <v>203</v>
      </c>
      <c r="BS35" s="5" t="s">
        <v>203</v>
      </c>
      <c r="BT35" s="5" t="s">
        <v>203</v>
      </c>
      <c r="BU35" s="5" t="s">
        <v>204</v>
      </c>
      <c r="BV35" s="5">
        <f>COUNTIF(BN35:BT35, "yes")</f>
        <v>3</v>
      </c>
      <c r="BW35" s="5" t="s">
        <v>203</v>
      </c>
      <c r="BX35" s="5" t="s">
        <v>203</v>
      </c>
      <c r="BY35" s="5" t="s">
        <v>203</v>
      </c>
      <c r="BZ35" s="5" t="s">
        <v>204</v>
      </c>
      <c r="CA35" s="5">
        <f>COUNTIF(BW35:BY35, "yes")</f>
        <v>0</v>
      </c>
      <c r="CB35" s="5" t="s">
        <v>200</v>
      </c>
      <c r="CC35" s="5" t="s">
        <v>203</v>
      </c>
      <c r="CD35" s="5" t="s">
        <v>203</v>
      </c>
      <c r="CE35" s="5" t="s">
        <v>203</v>
      </c>
      <c r="CF35" s="5" t="s">
        <v>203</v>
      </c>
      <c r="CG35" s="5" t="s">
        <v>210</v>
      </c>
      <c r="CH35" s="5" t="s">
        <v>203</v>
      </c>
      <c r="CI35" s="5" t="s">
        <v>203</v>
      </c>
      <c r="CJ35" s="5" t="s">
        <v>204</v>
      </c>
      <c r="CK35" s="5">
        <f>COUNTIF(CB35:CI35, "yes")</f>
        <v>1</v>
      </c>
      <c r="CL35" s="5" t="s">
        <v>216</v>
      </c>
      <c r="CM35" s="5">
        <v>0</v>
      </c>
      <c r="CN35" s="5" t="s">
        <v>217</v>
      </c>
      <c r="CO35" s="5">
        <v>3</v>
      </c>
      <c r="CP35" s="5" t="s">
        <v>217</v>
      </c>
      <c r="CQ35" s="5">
        <v>2</v>
      </c>
      <c r="CR35" s="5" t="s">
        <v>217</v>
      </c>
      <c r="CS35" s="5">
        <v>2</v>
      </c>
      <c r="CT35" s="5" t="s">
        <v>216</v>
      </c>
      <c r="CU35" s="5">
        <v>0</v>
      </c>
      <c r="CV35" s="5" t="s">
        <v>216</v>
      </c>
      <c r="CW35" s="5">
        <v>0</v>
      </c>
      <c r="CX35" s="5" t="s">
        <v>216</v>
      </c>
      <c r="CY35" s="5">
        <v>0</v>
      </c>
      <c r="CZ35" s="5" t="s">
        <v>216</v>
      </c>
      <c r="DA35" s="5">
        <v>0</v>
      </c>
      <c r="DB35" s="5" t="s">
        <v>216</v>
      </c>
      <c r="DC35" s="5">
        <v>0</v>
      </c>
      <c r="DD35" s="5" t="s">
        <v>216</v>
      </c>
      <c r="DE35" s="5">
        <v>0</v>
      </c>
      <c r="DF35" s="5" t="s">
        <v>241</v>
      </c>
      <c r="DG35" s="5" t="s">
        <v>203</v>
      </c>
      <c r="DH35" s="5" t="s">
        <v>200</v>
      </c>
      <c r="DI35" s="5" t="s">
        <v>254</v>
      </c>
      <c r="DJ35" s="5" t="s">
        <v>254</v>
      </c>
      <c r="DK35" s="5" t="s">
        <v>254</v>
      </c>
      <c r="DL35" s="5" t="s">
        <v>254</v>
      </c>
      <c r="DM35" s="5" t="s">
        <v>208</v>
      </c>
      <c r="DN35" s="5" t="s">
        <v>864</v>
      </c>
      <c r="DO35" s="5" t="s">
        <v>865</v>
      </c>
      <c r="DP35" s="5" t="s">
        <v>285</v>
      </c>
      <c r="DQ35" s="5" t="s">
        <v>866</v>
      </c>
      <c r="DR35" s="5" t="s">
        <v>203</v>
      </c>
      <c r="DS35" s="5" t="s">
        <v>204</v>
      </c>
      <c r="DT35" s="5" t="s">
        <v>210</v>
      </c>
      <c r="DU35" s="5" t="s">
        <v>219</v>
      </c>
      <c r="DV35" s="5" t="s">
        <v>204</v>
      </c>
      <c r="DW35" s="5" t="s">
        <v>203</v>
      </c>
      <c r="DX35" s="5" t="s">
        <v>204</v>
      </c>
      <c r="DY35" s="5" t="s">
        <v>210</v>
      </c>
      <c r="DZ35" s="5" t="s">
        <v>219</v>
      </c>
      <c r="EA35" s="5" t="s">
        <v>204</v>
      </c>
      <c r="EB35" s="5" t="s">
        <v>203</v>
      </c>
      <c r="EC35" s="5" t="s">
        <v>204</v>
      </c>
      <c r="ED35" s="5" t="s">
        <v>210</v>
      </c>
      <c r="EE35" s="5" t="s">
        <v>219</v>
      </c>
      <c r="EF35" s="5" t="s">
        <v>204</v>
      </c>
      <c r="EG35" s="5" t="s">
        <v>203</v>
      </c>
      <c r="EH35" s="5" t="s">
        <v>204</v>
      </c>
      <c r="EI35" s="5" t="s">
        <v>210</v>
      </c>
      <c r="EJ35" s="5" t="s">
        <v>219</v>
      </c>
      <c r="EK35" s="5" t="s">
        <v>204</v>
      </c>
      <c r="EL35" s="5" t="s">
        <v>203</v>
      </c>
      <c r="EM35" s="5" t="s">
        <v>204</v>
      </c>
      <c r="EN35" s="5" t="s">
        <v>210</v>
      </c>
      <c r="EO35" s="5" t="s">
        <v>219</v>
      </c>
      <c r="EP35" s="5" t="s">
        <v>204</v>
      </c>
      <c r="EQ35" s="5" t="s">
        <v>203</v>
      </c>
      <c r="ER35" s="5" t="s">
        <v>204</v>
      </c>
      <c r="ES35" s="79" t="s">
        <v>204</v>
      </c>
      <c r="ET35" s="20" t="s">
        <v>261</v>
      </c>
      <c r="EU35" s="5" t="s">
        <v>204</v>
      </c>
      <c r="EV35" s="80" t="s">
        <v>371</v>
      </c>
      <c r="EW35" s="5" t="s">
        <v>371</v>
      </c>
      <c r="EX35" s="5" t="s">
        <v>371</v>
      </c>
      <c r="EY35" s="5" t="s">
        <v>262</v>
      </c>
      <c r="EZ35" s="5" t="s">
        <v>228</v>
      </c>
      <c r="FA35" s="5" t="s">
        <v>200</v>
      </c>
      <c r="FB35" s="5" t="s">
        <v>867</v>
      </c>
      <c r="FC35" s="5" t="s">
        <v>208</v>
      </c>
      <c r="FD35" s="5" t="s">
        <v>315</v>
      </c>
      <c r="FE35" s="5">
        <f>AMSTAR!BG32</f>
        <v>16</v>
      </c>
      <c r="FF35" s="5">
        <f>AMSTAR!BF32</f>
        <v>5.5</v>
      </c>
      <c r="FG35" s="34">
        <f t="shared" si="1"/>
        <v>0.34375</v>
      </c>
    </row>
    <row r="36" spans="1:163">
      <c r="A36" s="5"/>
      <c r="B36" s="13" t="s">
        <v>193</v>
      </c>
      <c r="C36" s="14" t="s">
        <v>868</v>
      </c>
      <c r="D36" s="14">
        <v>2015</v>
      </c>
      <c r="E36" s="14" t="s">
        <v>869</v>
      </c>
      <c r="F36" s="14" t="s">
        <v>196</v>
      </c>
      <c r="G36" s="5" t="s">
        <v>870</v>
      </c>
      <c r="H36" s="5" t="s">
        <v>198</v>
      </c>
      <c r="I36" s="5">
        <v>6</v>
      </c>
      <c r="J36" s="5" t="s">
        <v>871</v>
      </c>
      <c r="K36" s="5" t="s">
        <v>200</v>
      </c>
      <c r="L36" s="5" t="s">
        <v>236</v>
      </c>
      <c r="M36" s="5" t="s">
        <v>209</v>
      </c>
      <c r="N36" s="5">
        <v>2008</v>
      </c>
      <c r="O36" s="5">
        <v>2012</v>
      </c>
      <c r="P36" s="5" t="s">
        <v>210</v>
      </c>
      <c r="Q36" s="5" t="s">
        <v>204</v>
      </c>
      <c r="R36" s="5" t="s">
        <v>872</v>
      </c>
      <c r="S36" s="5" t="s">
        <v>873</v>
      </c>
      <c r="T36" s="5" t="s">
        <v>241</v>
      </c>
      <c r="U36" s="5" t="s">
        <v>874</v>
      </c>
      <c r="V36" s="5" t="s">
        <v>200</v>
      </c>
      <c r="W36" s="5" t="s">
        <v>200</v>
      </c>
      <c r="X36" s="5">
        <v>7</v>
      </c>
      <c r="Y36" s="5">
        <v>8</v>
      </c>
      <c r="Z36" s="5">
        <v>4</v>
      </c>
      <c r="AA36" s="5" t="s">
        <v>875</v>
      </c>
      <c r="AB36" s="5">
        <v>170</v>
      </c>
      <c r="AC36" s="5" t="s">
        <v>209</v>
      </c>
      <c r="AD36" s="5" t="s">
        <v>209</v>
      </c>
      <c r="AE36" s="5" t="s">
        <v>209</v>
      </c>
      <c r="AF36" s="5" t="s">
        <v>209</v>
      </c>
      <c r="AG36" s="5" t="s">
        <v>209</v>
      </c>
      <c r="AH36" s="5" t="s">
        <v>204</v>
      </c>
      <c r="AI36" s="5">
        <f t="shared" si="2"/>
        <v>1</v>
      </c>
      <c r="AJ36" s="5" t="s">
        <v>203</v>
      </c>
      <c r="AK36" s="5" t="s">
        <v>204</v>
      </c>
      <c r="AL36" s="5" t="s">
        <v>203</v>
      </c>
      <c r="AM36" s="5" t="s">
        <v>204</v>
      </c>
      <c r="AN36" s="5" t="s">
        <v>208</v>
      </c>
      <c r="AO36" s="5" t="s">
        <v>876</v>
      </c>
      <c r="AP36" s="5" t="s">
        <v>200</v>
      </c>
      <c r="AQ36" s="5" t="s">
        <v>200</v>
      </c>
      <c r="AR36" s="5" t="s">
        <v>210</v>
      </c>
      <c r="AS36" s="5" t="s">
        <v>210</v>
      </c>
      <c r="AT36" s="5" t="s">
        <v>210</v>
      </c>
      <c r="AU36" s="5" t="s">
        <v>209</v>
      </c>
      <c r="AV36" s="5" t="s">
        <v>209</v>
      </c>
      <c r="AW36" s="5" t="s">
        <v>204</v>
      </c>
      <c r="AX36" s="5" t="s">
        <v>209</v>
      </c>
      <c r="AY36" s="5" t="s">
        <v>204</v>
      </c>
      <c r="AZ36" s="5" t="s">
        <v>209</v>
      </c>
      <c r="BA36" s="5" t="s">
        <v>204</v>
      </c>
      <c r="BB36" s="5" t="s">
        <v>209</v>
      </c>
      <c r="BC36" s="5" t="s">
        <v>204</v>
      </c>
      <c r="BD36" s="5" t="s">
        <v>209</v>
      </c>
      <c r="BE36" s="5" t="s">
        <v>204</v>
      </c>
      <c r="BF36" s="5" t="s">
        <v>209</v>
      </c>
      <c r="BG36" s="5" t="s">
        <v>204</v>
      </c>
      <c r="BH36" s="5" t="s">
        <v>209</v>
      </c>
      <c r="BI36" s="5" t="s">
        <v>204</v>
      </c>
      <c r="BJ36" s="5" t="s">
        <v>209</v>
      </c>
      <c r="BK36" s="5" t="s">
        <v>204</v>
      </c>
      <c r="BL36" s="5" t="s">
        <v>328</v>
      </c>
      <c r="BM36" s="5" t="s">
        <v>877</v>
      </c>
      <c r="BN36" s="5" t="s">
        <v>203</v>
      </c>
      <c r="BO36" s="5" t="s">
        <v>203</v>
      </c>
      <c r="BP36" s="5" t="s">
        <v>210</v>
      </c>
      <c r="BQ36" s="5" t="s">
        <v>203</v>
      </c>
      <c r="BR36" s="5" t="s">
        <v>203</v>
      </c>
      <c r="BS36" s="5" t="s">
        <v>203</v>
      </c>
      <c r="BT36" s="5" t="s">
        <v>203</v>
      </c>
      <c r="BU36" s="5" t="s">
        <v>204</v>
      </c>
      <c r="BV36" s="5">
        <f>COUNTIF(BN36:BT36, "yes")</f>
        <v>0</v>
      </c>
      <c r="BW36" s="5" t="s">
        <v>203</v>
      </c>
      <c r="BX36" s="5" t="s">
        <v>203</v>
      </c>
      <c r="BY36" s="5" t="s">
        <v>203</v>
      </c>
      <c r="BZ36" s="5" t="s">
        <v>204</v>
      </c>
      <c r="CA36" s="5">
        <f>COUNTIF(BW36:BY36, "yes")</f>
        <v>0</v>
      </c>
      <c r="CB36" s="5" t="s">
        <v>203</v>
      </c>
      <c r="CC36" s="5" t="s">
        <v>203</v>
      </c>
      <c r="CD36" s="5" t="s">
        <v>203</v>
      </c>
      <c r="CE36" s="5" t="s">
        <v>203</v>
      </c>
      <c r="CF36" s="5" t="s">
        <v>203</v>
      </c>
      <c r="CG36" s="5" t="s">
        <v>203</v>
      </c>
      <c r="CH36" s="5" t="s">
        <v>200</v>
      </c>
      <c r="CI36" s="5" t="s">
        <v>203</v>
      </c>
      <c r="CJ36" s="5" t="s">
        <v>203</v>
      </c>
      <c r="CK36" s="5">
        <f>COUNTIF(CB36:CI36, "yes")</f>
        <v>1</v>
      </c>
      <c r="CL36" s="5" t="s">
        <v>216</v>
      </c>
      <c r="CM36" s="5">
        <v>0</v>
      </c>
      <c r="CN36" s="5" t="s">
        <v>217</v>
      </c>
      <c r="CO36" s="5">
        <v>4</v>
      </c>
      <c r="CP36" s="5" t="s">
        <v>216</v>
      </c>
      <c r="CQ36" s="5">
        <v>0</v>
      </c>
      <c r="CR36" s="5" t="s">
        <v>216</v>
      </c>
      <c r="CS36" s="5">
        <v>0</v>
      </c>
      <c r="CT36" s="5" t="s">
        <v>216</v>
      </c>
      <c r="CU36" s="5">
        <v>0</v>
      </c>
      <c r="CV36" s="5" t="s">
        <v>216</v>
      </c>
      <c r="CW36" s="5">
        <v>0</v>
      </c>
      <c r="CX36" s="5" t="s">
        <v>216</v>
      </c>
      <c r="CY36" s="5">
        <v>0</v>
      </c>
      <c r="CZ36" s="5" t="s">
        <v>216</v>
      </c>
      <c r="DA36" s="5">
        <v>0</v>
      </c>
      <c r="DB36" s="5" t="s">
        <v>216</v>
      </c>
      <c r="DC36" s="5">
        <v>0</v>
      </c>
      <c r="DD36" s="5" t="s">
        <v>216</v>
      </c>
      <c r="DE36" s="5">
        <v>0</v>
      </c>
      <c r="DF36" s="5" t="s">
        <v>878</v>
      </c>
      <c r="DG36" s="5" t="s">
        <v>210</v>
      </c>
      <c r="DH36" s="5" t="s">
        <v>210</v>
      </c>
      <c r="DI36" s="5" t="s">
        <v>208</v>
      </c>
      <c r="DJ36" s="5" t="s">
        <v>208</v>
      </c>
      <c r="DK36" s="5" t="s">
        <v>210</v>
      </c>
      <c r="DL36" s="5" t="s">
        <v>208</v>
      </c>
      <c r="DM36" s="5" t="s">
        <v>208</v>
      </c>
      <c r="DN36" s="5" t="s">
        <v>879</v>
      </c>
      <c r="DO36" s="5" t="s">
        <v>210</v>
      </c>
      <c r="DP36" s="5" t="s">
        <v>311</v>
      </c>
      <c r="DQ36" s="5" t="s">
        <v>880</v>
      </c>
      <c r="DR36" s="5" t="s">
        <v>203</v>
      </c>
      <c r="DS36" s="5" t="s">
        <v>204</v>
      </c>
      <c r="DT36" s="5" t="s">
        <v>204</v>
      </c>
      <c r="DU36" s="5" t="s">
        <v>219</v>
      </c>
      <c r="DV36" s="5" t="s">
        <v>204</v>
      </c>
      <c r="DW36" s="5" t="s">
        <v>208</v>
      </c>
      <c r="DX36" s="5" t="s">
        <v>881</v>
      </c>
      <c r="DY36" s="5" t="s">
        <v>210</v>
      </c>
      <c r="DZ36" s="5" t="s">
        <v>221</v>
      </c>
      <c r="EA36" s="5" t="s">
        <v>882</v>
      </c>
      <c r="EB36" s="5" t="s">
        <v>210</v>
      </c>
      <c r="EC36" s="5" t="s">
        <v>204</v>
      </c>
      <c r="ED36" s="5" t="s">
        <v>210</v>
      </c>
      <c r="EE36" s="5" t="s">
        <v>219</v>
      </c>
      <c r="EF36" s="5" t="s">
        <v>204</v>
      </c>
      <c r="EG36" s="5" t="s">
        <v>208</v>
      </c>
      <c r="EH36" s="5" t="s">
        <v>883</v>
      </c>
      <c r="EI36" s="5" t="s">
        <v>210</v>
      </c>
      <c r="EJ36" s="5" t="s">
        <v>221</v>
      </c>
      <c r="EK36" s="5" t="s">
        <v>884</v>
      </c>
      <c r="EL36" s="5" t="s">
        <v>208</v>
      </c>
      <c r="EM36" s="5" t="s">
        <v>885</v>
      </c>
      <c r="EN36" s="5" t="s">
        <v>210</v>
      </c>
      <c r="EO36" s="5" t="s">
        <v>221</v>
      </c>
      <c r="EP36" s="5" t="s">
        <v>886</v>
      </c>
      <c r="EQ36" s="5" t="s">
        <v>210</v>
      </c>
      <c r="ER36" s="5" t="s">
        <v>204</v>
      </c>
      <c r="ES36" s="79" t="s">
        <v>204</v>
      </c>
      <c r="ET36" s="20" t="s">
        <v>261</v>
      </c>
      <c r="EU36" s="5" t="s">
        <v>204</v>
      </c>
      <c r="EV36" s="80" t="s">
        <v>371</v>
      </c>
      <c r="EW36" s="5" t="s">
        <v>371</v>
      </c>
      <c r="EX36" s="5" t="s">
        <v>371</v>
      </c>
      <c r="EY36" s="5" t="s">
        <v>262</v>
      </c>
      <c r="EZ36" s="5" t="s">
        <v>228</v>
      </c>
      <c r="FA36" s="5" t="s">
        <v>203</v>
      </c>
      <c r="FB36" s="5" t="s">
        <v>204</v>
      </c>
      <c r="FC36" s="5" t="s">
        <v>203</v>
      </c>
      <c r="FD36" s="5" t="s">
        <v>204</v>
      </c>
      <c r="FE36" s="5">
        <f>AMSTAR!BG33</f>
        <v>13</v>
      </c>
      <c r="FF36" s="5">
        <f>AMSTAR!BF33</f>
        <v>2.5</v>
      </c>
      <c r="FG36" s="34">
        <f t="shared" si="1"/>
        <v>0.19230769230769232</v>
      </c>
    </row>
    <row r="37" spans="1:163">
      <c r="A37" s="5"/>
      <c r="B37" s="12">
        <v>25379</v>
      </c>
      <c r="C37" s="14" t="s">
        <v>887</v>
      </c>
      <c r="D37" s="14">
        <v>2019</v>
      </c>
      <c r="E37" s="14" t="s">
        <v>888</v>
      </c>
      <c r="F37" s="14" t="s">
        <v>233</v>
      </c>
      <c r="G37" s="5" t="s">
        <v>889</v>
      </c>
      <c r="H37" s="5" t="s">
        <v>198</v>
      </c>
      <c r="I37" s="5">
        <v>4</v>
      </c>
      <c r="J37" s="5" t="s">
        <v>890</v>
      </c>
      <c r="K37" s="5" t="s">
        <v>208</v>
      </c>
      <c r="L37" s="5" t="s">
        <v>236</v>
      </c>
      <c r="M37" s="91">
        <v>43374</v>
      </c>
      <c r="N37" s="5">
        <v>1998</v>
      </c>
      <c r="O37" s="5">
        <v>2018</v>
      </c>
      <c r="P37" s="5" t="s">
        <v>208</v>
      </c>
      <c r="Q37" s="5" t="s">
        <v>891</v>
      </c>
      <c r="R37" s="5" t="s">
        <v>892</v>
      </c>
      <c r="S37" s="5" t="s">
        <v>302</v>
      </c>
      <c r="T37" s="5" t="s">
        <v>496</v>
      </c>
      <c r="U37" s="5" t="s">
        <v>587</v>
      </c>
      <c r="V37" s="5" t="s">
        <v>208</v>
      </c>
      <c r="W37" s="5" t="s">
        <v>203</v>
      </c>
      <c r="X37" s="5">
        <v>8</v>
      </c>
      <c r="Y37" s="5">
        <v>8</v>
      </c>
      <c r="Z37" s="5">
        <v>3</v>
      </c>
      <c r="AA37" s="5" t="s">
        <v>893</v>
      </c>
      <c r="AB37" s="5">
        <v>70</v>
      </c>
      <c r="AC37" s="5" t="s">
        <v>209</v>
      </c>
      <c r="AD37" s="5" t="s">
        <v>209</v>
      </c>
      <c r="AE37" s="5">
        <v>12</v>
      </c>
      <c r="AF37" s="5">
        <v>40</v>
      </c>
      <c r="AG37" s="5" t="s">
        <v>209</v>
      </c>
      <c r="AH37" s="5" t="s">
        <v>894</v>
      </c>
      <c r="AI37" s="5">
        <f t="shared" si="2"/>
        <v>1</v>
      </c>
      <c r="AJ37" s="5" t="s">
        <v>203</v>
      </c>
      <c r="AK37" s="5" t="s">
        <v>204</v>
      </c>
      <c r="AL37" s="5" t="s">
        <v>208</v>
      </c>
      <c r="AM37" s="5" t="s">
        <v>895</v>
      </c>
      <c r="AN37" s="5" t="s">
        <v>210</v>
      </c>
      <c r="AO37" s="5" t="s">
        <v>204</v>
      </c>
      <c r="AP37" s="5" t="s">
        <v>371</v>
      </c>
      <c r="AQ37" s="5" t="s">
        <v>371</v>
      </c>
      <c r="AR37" s="5" t="s">
        <v>371</v>
      </c>
      <c r="AS37" s="5" t="s">
        <v>371</v>
      </c>
      <c r="AT37" s="5" t="s">
        <v>371</v>
      </c>
      <c r="AU37" s="5">
        <v>1</v>
      </c>
      <c r="AV37" s="5">
        <v>2</v>
      </c>
      <c r="AW37" s="5" t="s">
        <v>896</v>
      </c>
      <c r="AX37" s="5">
        <v>0</v>
      </c>
      <c r="AY37" s="5" t="s">
        <v>204</v>
      </c>
      <c r="AZ37" s="5">
        <v>0</v>
      </c>
      <c r="BA37" s="5" t="s">
        <v>204</v>
      </c>
      <c r="BB37" s="5">
        <v>0</v>
      </c>
      <c r="BC37" s="5" t="s">
        <v>204</v>
      </c>
      <c r="BD37" s="5">
        <v>0</v>
      </c>
      <c r="BE37" s="5" t="s">
        <v>204</v>
      </c>
      <c r="BF37" s="5">
        <v>0</v>
      </c>
      <c r="BG37" s="5" t="s">
        <v>204</v>
      </c>
      <c r="BH37" s="5">
        <v>0</v>
      </c>
      <c r="BI37" s="5" t="s">
        <v>204</v>
      </c>
      <c r="BJ37" s="5">
        <v>0</v>
      </c>
      <c r="BK37" s="5" t="s">
        <v>204</v>
      </c>
      <c r="BL37" s="5" t="s">
        <v>249</v>
      </c>
      <c r="BM37" s="5" t="s">
        <v>897</v>
      </c>
      <c r="BN37" s="5" t="s">
        <v>210</v>
      </c>
      <c r="BO37" s="5" t="s">
        <v>210</v>
      </c>
      <c r="BP37" s="5" t="s">
        <v>203</v>
      </c>
      <c r="BQ37" s="5" t="s">
        <v>208</v>
      </c>
      <c r="BR37" s="5" t="s">
        <v>203</v>
      </c>
      <c r="BS37" s="5" t="s">
        <v>203</v>
      </c>
      <c r="BT37" s="5" t="s">
        <v>203</v>
      </c>
      <c r="BU37" s="5" t="s">
        <v>210</v>
      </c>
      <c r="BV37" s="5">
        <f>COUNTIF(BN37:BT37, "yes")</f>
        <v>1</v>
      </c>
      <c r="BW37" s="5" t="s">
        <v>203</v>
      </c>
      <c r="BX37" s="5" t="s">
        <v>203</v>
      </c>
      <c r="BY37" s="5" t="s">
        <v>203</v>
      </c>
      <c r="BZ37" s="5" t="s">
        <v>204</v>
      </c>
      <c r="CA37" s="5">
        <f>COUNTIF(BW37:BY37, "yes")</f>
        <v>0</v>
      </c>
      <c r="CB37" s="5" t="s">
        <v>203</v>
      </c>
      <c r="CC37" s="5" t="s">
        <v>203</v>
      </c>
      <c r="CD37" s="5" t="s">
        <v>203</v>
      </c>
      <c r="CE37" s="5" t="s">
        <v>203</v>
      </c>
      <c r="CF37" s="5" t="s">
        <v>203</v>
      </c>
      <c r="CG37" s="5" t="s">
        <v>203</v>
      </c>
      <c r="CH37" s="5" t="s">
        <v>203</v>
      </c>
      <c r="CI37" s="5" t="s">
        <v>203</v>
      </c>
      <c r="CJ37" s="5" t="s">
        <v>204</v>
      </c>
      <c r="CK37" s="5">
        <f>COUNTIF(CB37:CI37, "yes")</f>
        <v>0</v>
      </c>
      <c r="CL37" s="5" t="s">
        <v>216</v>
      </c>
      <c r="CM37" s="5">
        <v>0</v>
      </c>
      <c r="CN37" s="5" t="s">
        <v>251</v>
      </c>
      <c r="CO37" s="5">
        <v>0</v>
      </c>
      <c r="CP37" s="5" t="s">
        <v>251</v>
      </c>
      <c r="CQ37" s="5">
        <v>0</v>
      </c>
      <c r="CR37" s="5" t="s">
        <v>251</v>
      </c>
      <c r="CS37" s="5">
        <v>0</v>
      </c>
      <c r="CT37" s="5" t="s">
        <v>217</v>
      </c>
      <c r="CU37" s="5">
        <v>2</v>
      </c>
      <c r="CV37" s="5" t="s">
        <v>251</v>
      </c>
      <c r="CW37" s="5">
        <v>0</v>
      </c>
      <c r="CX37" s="5" t="s">
        <v>217</v>
      </c>
      <c r="CY37" s="5">
        <v>1</v>
      </c>
      <c r="CZ37" s="5" t="s">
        <v>251</v>
      </c>
      <c r="DA37" s="5">
        <v>0</v>
      </c>
      <c r="DB37" s="5" t="s">
        <v>252</v>
      </c>
      <c r="DC37" s="5">
        <v>0</v>
      </c>
      <c r="DD37" s="5" t="s">
        <v>216</v>
      </c>
      <c r="DE37" s="5" t="s">
        <v>204</v>
      </c>
      <c r="DF37" s="5" t="s">
        <v>302</v>
      </c>
      <c r="DG37" s="5" t="s">
        <v>203</v>
      </c>
      <c r="DH37" s="5" t="s">
        <v>203</v>
      </c>
      <c r="DI37" s="5" t="s">
        <v>203</v>
      </c>
      <c r="DJ37" s="5" t="s">
        <v>203</v>
      </c>
      <c r="DK37" s="5" t="s">
        <v>203</v>
      </c>
      <c r="DL37" s="5" t="s">
        <v>203</v>
      </c>
      <c r="DM37" s="5" t="s">
        <v>208</v>
      </c>
      <c r="DN37" s="5" t="s">
        <v>898</v>
      </c>
      <c r="DO37" s="5" t="s">
        <v>210</v>
      </c>
      <c r="DP37" s="5" t="s">
        <v>221</v>
      </c>
      <c r="DQ37" s="5" t="s">
        <v>899</v>
      </c>
      <c r="DR37" s="5" t="s">
        <v>203</v>
      </c>
      <c r="DS37" s="5" t="s">
        <v>204</v>
      </c>
      <c r="DT37" s="5" t="s">
        <v>204</v>
      </c>
      <c r="DU37" s="5" t="s">
        <v>219</v>
      </c>
      <c r="DV37" s="5" t="s">
        <v>204</v>
      </c>
      <c r="DW37" s="5" t="s">
        <v>203</v>
      </c>
      <c r="DX37" s="5" t="s">
        <v>204</v>
      </c>
      <c r="DY37" s="5" t="s">
        <v>204</v>
      </c>
      <c r="DZ37" s="5" t="s">
        <v>219</v>
      </c>
      <c r="EA37" s="5" t="s">
        <v>204</v>
      </c>
      <c r="EB37" s="5" t="s">
        <v>203</v>
      </c>
      <c r="EC37" s="5" t="s">
        <v>204</v>
      </c>
      <c r="ED37" s="5" t="s">
        <v>204</v>
      </c>
      <c r="EE37" s="5" t="s">
        <v>219</v>
      </c>
      <c r="EF37" s="5" t="s">
        <v>204</v>
      </c>
      <c r="EG37" s="5" t="s">
        <v>203</v>
      </c>
      <c r="EH37" s="5" t="s">
        <v>204</v>
      </c>
      <c r="EI37" s="5" t="s">
        <v>204</v>
      </c>
      <c r="EJ37" s="5" t="s">
        <v>219</v>
      </c>
      <c r="EK37" s="5" t="s">
        <v>204</v>
      </c>
      <c r="EL37" s="5" t="s">
        <v>203</v>
      </c>
      <c r="EM37" s="5" t="s">
        <v>204</v>
      </c>
      <c r="EN37" s="5" t="s">
        <v>204</v>
      </c>
      <c r="EO37" s="5" t="s">
        <v>219</v>
      </c>
      <c r="EP37" s="5" t="s">
        <v>204</v>
      </c>
      <c r="EQ37" s="5" t="s">
        <v>208</v>
      </c>
      <c r="ER37" s="5" t="s">
        <v>900</v>
      </c>
      <c r="ES37" s="79" t="s">
        <v>901</v>
      </c>
      <c r="ET37" s="20" t="s">
        <v>529</v>
      </c>
      <c r="EU37" s="5" t="s">
        <v>902</v>
      </c>
      <c r="EV37" s="80" t="s">
        <v>371</v>
      </c>
      <c r="EW37" s="80" t="s">
        <v>371</v>
      </c>
      <c r="EX37" s="80" t="s">
        <v>371</v>
      </c>
      <c r="EY37" s="5" t="s">
        <v>227</v>
      </c>
      <c r="EZ37" s="5" t="s">
        <v>420</v>
      </c>
      <c r="FA37" s="5" t="s">
        <v>208</v>
      </c>
      <c r="FB37" s="5" t="s">
        <v>302</v>
      </c>
      <c r="FC37" s="5" t="s">
        <v>203</v>
      </c>
      <c r="FD37" s="5" t="s">
        <v>204</v>
      </c>
      <c r="FE37" s="5">
        <f>AMSTAR!BG34</f>
        <v>13</v>
      </c>
      <c r="FF37" s="5">
        <f>AMSTAR!BF34</f>
        <v>6</v>
      </c>
      <c r="FG37" s="34">
        <f t="shared" si="1"/>
        <v>0.46153846153846156</v>
      </c>
    </row>
    <row r="38" spans="1:163">
      <c r="A38" s="5"/>
      <c r="B38" s="14"/>
      <c r="C38" s="85" t="s">
        <v>903</v>
      </c>
      <c r="D38" s="85">
        <v>2017</v>
      </c>
      <c r="E38" s="85" t="s">
        <v>904</v>
      </c>
      <c r="F38" s="14" t="s">
        <v>905</v>
      </c>
      <c r="G38" s="5" t="s">
        <v>906</v>
      </c>
      <c r="H38" s="5" t="s">
        <v>907</v>
      </c>
      <c r="I38" s="5">
        <v>3</v>
      </c>
      <c r="J38" s="5" t="s">
        <v>908</v>
      </c>
      <c r="K38" s="5" t="s">
        <v>208</v>
      </c>
      <c r="L38" s="5" t="s">
        <v>236</v>
      </c>
      <c r="M38" s="5">
        <v>2017</v>
      </c>
      <c r="N38" s="5">
        <v>1995</v>
      </c>
      <c r="O38" s="5">
        <v>2017</v>
      </c>
      <c r="P38" s="5" t="s">
        <v>208</v>
      </c>
      <c r="Q38" s="5" t="s">
        <v>909</v>
      </c>
      <c r="R38" s="92" t="s">
        <v>910</v>
      </c>
      <c r="S38" s="5" t="s">
        <v>911</v>
      </c>
      <c r="T38" s="5" t="s">
        <v>241</v>
      </c>
      <c r="U38" s="5" t="s">
        <v>912</v>
      </c>
      <c r="V38" s="5" t="s">
        <v>208</v>
      </c>
      <c r="W38" s="5" t="s">
        <v>210</v>
      </c>
      <c r="X38" s="5">
        <v>80</v>
      </c>
      <c r="Y38" s="5">
        <v>80</v>
      </c>
      <c r="Z38" s="5" t="s">
        <v>913</v>
      </c>
      <c r="AA38" s="5" t="s">
        <v>914</v>
      </c>
      <c r="AB38" s="5" t="s">
        <v>209</v>
      </c>
      <c r="AC38" s="5" t="s">
        <v>209</v>
      </c>
      <c r="AD38" s="5" t="s">
        <v>209</v>
      </c>
      <c r="AE38" s="5" t="s">
        <v>209</v>
      </c>
      <c r="AF38" s="5" t="s">
        <v>209</v>
      </c>
      <c r="AG38" s="5" t="s">
        <v>209</v>
      </c>
      <c r="AH38" s="5" t="s">
        <v>915</v>
      </c>
      <c r="AI38" s="5">
        <f t="shared" si="2"/>
        <v>1</v>
      </c>
      <c r="AJ38" s="5" t="s">
        <v>203</v>
      </c>
      <c r="AK38" s="5" t="s">
        <v>204</v>
      </c>
      <c r="AL38" s="5" t="s">
        <v>203</v>
      </c>
      <c r="AM38" s="5" t="s">
        <v>204</v>
      </c>
      <c r="AN38" s="5" t="s">
        <v>208</v>
      </c>
      <c r="AO38" s="5" t="s">
        <v>916</v>
      </c>
      <c r="AP38" s="5" t="s">
        <v>200</v>
      </c>
      <c r="AQ38" s="5" t="s">
        <v>203</v>
      </c>
      <c r="AR38" s="5" t="s">
        <v>203</v>
      </c>
      <c r="AS38" s="5" t="s">
        <v>203</v>
      </c>
      <c r="AT38" s="5" t="s">
        <v>203</v>
      </c>
      <c r="AU38" s="5" t="s">
        <v>209</v>
      </c>
      <c r="AV38" s="5" t="s">
        <v>209</v>
      </c>
      <c r="AW38" s="5" t="s">
        <v>204</v>
      </c>
      <c r="AX38" s="5" t="s">
        <v>209</v>
      </c>
      <c r="AY38" s="5" t="s">
        <v>204</v>
      </c>
      <c r="AZ38" s="5" t="s">
        <v>209</v>
      </c>
      <c r="BA38" s="5" t="s">
        <v>204</v>
      </c>
      <c r="BB38" s="5" t="s">
        <v>209</v>
      </c>
      <c r="BC38" s="5" t="s">
        <v>204</v>
      </c>
      <c r="BD38" s="5" t="s">
        <v>209</v>
      </c>
      <c r="BE38" s="5" t="s">
        <v>204</v>
      </c>
      <c r="BF38" s="5" t="s">
        <v>209</v>
      </c>
      <c r="BG38" s="5" t="s">
        <v>204</v>
      </c>
      <c r="BH38" s="5" t="s">
        <v>209</v>
      </c>
      <c r="BI38" s="5" t="s">
        <v>204</v>
      </c>
      <c r="BJ38" s="5" t="s">
        <v>209</v>
      </c>
      <c r="BK38" s="5" t="s">
        <v>204</v>
      </c>
      <c r="BL38" s="5" t="s">
        <v>249</v>
      </c>
      <c r="BM38" s="5" t="s">
        <v>917</v>
      </c>
      <c r="BN38" s="5" t="s">
        <v>208</v>
      </c>
      <c r="BO38" s="5" t="s">
        <v>200</v>
      </c>
      <c r="BP38" s="5" t="s">
        <v>210</v>
      </c>
      <c r="BQ38" s="5" t="s">
        <v>210</v>
      </c>
      <c r="BR38" s="5" t="s">
        <v>210</v>
      </c>
      <c r="BS38" s="5" t="s">
        <v>210</v>
      </c>
      <c r="BT38" s="5" t="s">
        <v>210</v>
      </c>
      <c r="BU38" s="5" t="s">
        <v>210</v>
      </c>
      <c r="BV38" s="5">
        <f>COUNTIF(BN38:BT38, "yes")</f>
        <v>2</v>
      </c>
      <c r="BW38" s="5" t="s">
        <v>210</v>
      </c>
      <c r="BX38" s="5" t="s">
        <v>210</v>
      </c>
      <c r="BY38" s="5" t="s">
        <v>210</v>
      </c>
      <c r="BZ38" s="5" t="s">
        <v>204</v>
      </c>
      <c r="CA38" s="5">
        <f>COUNTIF(BW38:BY38, "yes")</f>
        <v>0</v>
      </c>
      <c r="CB38" s="5" t="s">
        <v>210</v>
      </c>
      <c r="CC38" s="5" t="s">
        <v>210</v>
      </c>
      <c r="CD38" s="5" t="s">
        <v>210</v>
      </c>
      <c r="CE38" s="5" t="s">
        <v>210</v>
      </c>
      <c r="CF38" s="5" t="s">
        <v>210</v>
      </c>
      <c r="CG38" s="5" t="s">
        <v>210</v>
      </c>
      <c r="CH38" s="5" t="s">
        <v>210</v>
      </c>
      <c r="CI38" s="5" t="s">
        <v>210</v>
      </c>
      <c r="CJ38" s="5" t="s">
        <v>204</v>
      </c>
      <c r="CK38" s="5">
        <f>COUNTIF(CB38:CI38, "yes")</f>
        <v>0</v>
      </c>
      <c r="CL38" s="5" t="s">
        <v>217</v>
      </c>
      <c r="CM38" s="5">
        <v>11</v>
      </c>
      <c r="CN38" s="5" t="s">
        <v>216</v>
      </c>
      <c r="CO38" s="5">
        <v>0</v>
      </c>
      <c r="CP38" s="5" t="s">
        <v>216</v>
      </c>
      <c r="CQ38" s="5">
        <v>0</v>
      </c>
      <c r="CR38" s="5" t="s">
        <v>216</v>
      </c>
      <c r="CS38" s="5">
        <v>0</v>
      </c>
      <c r="CT38" s="5" t="s">
        <v>216</v>
      </c>
      <c r="CU38" s="5">
        <v>0</v>
      </c>
      <c r="CV38" s="5" t="s">
        <v>216</v>
      </c>
      <c r="CW38" s="5">
        <v>0</v>
      </c>
      <c r="CX38" s="5" t="s">
        <v>216</v>
      </c>
      <c r="CY38" s="5">
        <v>0</v>
      </c>
      <c r="CZ38" s="5" t="s">
        <v>216</v>
      </c>
      <c r="DA38" s="5">
        <v>0</v>
      </c>
      <c r="DB38" s="5" t="s">
        <v>216</v>
      </c>
      <c r="DC38" s="5">
        <v>0</v>
      </c>
      <c r="DD38" s="5" t="s">
        <v>216</v>
      </c>
      <c r="DE38" s="5">
        <v>0</v>
      </c>
      <c r="DF38" s="5" t="s">
        <v>241</v>
      </c>
      <c r="DG38" s="5" t="s">
        <v>254</v>
      </c>
      <c r="DH38" s="5" t="s">
        <v>254</v>
      </c>
      <c r="DI38" s="5" t="s">
        <v>254</v>
      </c>
      <c r="DJ38" s="5" t="s">
        <v>254</v>
      </c>
      <c r="DK38" s="5" t="s">
        <v>254</v>
      </c>
      <c r="DL38" s="5" t="s">
        <v>254</v>
      </c>
      <c r="DM38" s="5" t="s">
        <v>200</v>
      </c>
      <c r="DN38" s="5" t="s">
        <v>918</v>
      </c>
      <c r="DO38" s="5" t="s">
        <v>919</v>
      </c>
      <c r="DP38" s="5" t="s">
        <v>221</v>
      </c>
      <c r="DQ38" s="5" t="s">
        <v>204</v>
      </c>
      <c r="DR38" s="5" t="s">
        <v>203</v>
      </c>
      <c r="DS38" s="5" t="s">
        <v>204</v>
      </c>
      <c r="DT38" s="5" t="s">
        <v>210</v>
      </c>
      <c r="DU38" s="5" t="s">
        <v>219</v>
      </c>
      <c r="DV38" s="5" t="s">
        <v>204</v>
      </c>
      <c r="DW38" s="5" t="s">
        <v>200</v>
      </c>
      <c r="DX38" s="5" t="s">
        <v>920</v>
      </c>
      <c r="DY38" s="5" t="s">
        <v>921</v>
      </c>
      <c r="DZ38" s="5" t="s">
        <v>221</v>
      </c>
      <c r="EA38" s="5" t="s">
        <v>204</v>
      </c>
      <c r="EB38" s="5" t="s">
        <v>203</v>
      </c>
      <c r="EC38" s="5" t="s">
        <v>204</v>
      </c>
      <c r="ED38" s="5" t="s">
        <v>210</v>
      </c>
      <c r="EE38" s="5" t="s">
        <v>219</v>
      </c>
      <c r="EF38" s="5" t="s">
        <v>204</v>
      </c>
      <c r="EG38" s="5" t="s">
        <v>203</v>
      </c>
      <c r="EH38" s="5" t="s">
        <v>204</v>
      </c>
      <c r="EI38" s="5" t="s">
        <v>210</v>
      </c>
      <c r="EJ38" s="5" t="s">
        <v>219</v>
      </c>
      <c r="EK38" s="5" t="s">
        <v>204</v>
      </c>
      <c r="EL38" s="5" t="s">
        <v>200</v>
      </c>
      <c r="EM38" s="5" t="s">
        <v>922</v>
      </c>
      <c r="EN38" s="5" t="s">
        <v>923</v>
      </c>
      <c r="EO38" s="5" t="s">
        <v>221</v>
      </c>
      <c r="EP38" s="5" t="s">
        <v>204</v>
      </c>
      <c r="EQ38" s="5" t="s">
        <v>203</v>
      </c>
      <c r="ER38" s="5" t="s">
        <v>204</v>
      </c>
      <c r="ES38" s="79" t="s">
        <v>204</v>
      </c>
      <c r="ET38" s="20" t="s">
        <v>292</v>
      </c>
      <c r="EU38" s="5" t="s">
        <v>924</v>
      </c>
      <c r="EV38" s="80" t="s">
        <v>204</v>
      </c>
      <c r="EW38" s="80" t="s">
        <v>204</v>
      </c>
      <c r="EX38" s="80" t="s">
        <v>204</v>
      </c>
      <c r="EY38" s="5" t="s">
        <v>227</v>
      </c>
      <c r="EZ38" s="5" t="s">
        <v>420</v>
      </c>
      <c r="FA38" s="5" t="s">
        <v>208</v>
      </c>
      <c r="FB38" s="5" t="s">
        <v>925</v>
      </c>
      <c r="FC38" s="5" t="s">
        <v>203</v>
      </c>
      <c r="FD38" s="5" t="s">
        <v>204</v>
      </c>
      <c r="FE38" s="5">
        <f>AMSTAR!BG35</f>
        <v>13</v>
      </c>
      <c r="FF38" s="5">
        <f>AMSTAR!BF35</f>
        <v>2.5</v>
      </c>
      <c r="FG38" s="34">
        <f t="shared" si="1"/>
        <v>0.19230769230769232</v>
      </c>
    </row>
    <row r="39" spans="1:163">
      <c r="A39" s="5"/>
      <c r="B39" s="14"/>
      <c r="C39" s="14" t="s">
        <v>926</v>
      </c>
      <c r="D39" s="14">
        <v>2015</v>
      </c>
      <c r="E39" s="14" t="s">
        <v>927</v>
      </c>
      <c r="F39" s="14" t="s">
        <v>196</v>
      </c>
      <c r="G39" s="5" t="s">
        <v>928</v>
      </c>
      <c r="H39" s="5" t="s">
        <v>929</v>
      </c>
      <c r="I39" s="5">
        <v>6</v>
      </c>
      <c r="J39" s="5" t="s">
        <v>930</v>
      </c>
      <c r="K39" s="5" t="s">
        <v>208</v>
      </c>
      <c r="L39" s="5" t="s">
        <v>236</v>
      </c>
      <c r="M39" s="5" t="s">
        <v>931</v>
      </c>
      <c r="N39" s="5" t="s">
        <v>209</v>
      </c>
      <c r="O39" s="5">
        <v>2014</v>
      </c>
      <c r="P39" s="5" t="s">
        <v>203</v>
      </c>
      <c r="Q39" s="5" t="s">
        <v>204</v>
      </c>
      <c r="R39" s="5" t="s">
        <v>932</v>
      </c>
      <c r="S39" s="5" t="s">
        <v>933</v>
      </c>
      <c r="T39" s="5" t="s">
        <v>241</v>
      </c>
      <c r="U39" s="5" t="s">
        <v>934</v>
      </c>
      <c r="V39" s="5" t="s">
        <v>200</v>
      </c>
      <c r="W39" s="5" t="s">
        <v>200</v>
      </c>
      <c r="X39" s="5">
        <v>46</v>
      </c>
      <c r="Y39" s="5">
        <v>46</v>
      </c>
      <c r="Z39" s="5">
        <v>6</v>
      </c>
      <c r="AA39" s="5" t="s">
        <v>935</v>
      </c>
      <c r="AB39" s="5">
        <v>904</v>
      </c>
      <c r="AC39" s="5" t="s">
        <v>209</v>
      </c>
      <c r="AD39" s="5" t="s">
        <v>209</v>
      </c>
      <c r="AE39" s="5" t="s">
        <v>209</v>
      </c>
      <c r="AF39" s="5" t="s">
        <v>209</v>
      </c>
      <c r="AG39" s="5" t="s">
        <v>209</v>
      </c>
      <c r="AH39" s="5" t="s">
        <v>204</v>
      </c>
      <c r="AI39" s="5">
        <f t="shared" si="2"/>
        <v>1</v>
      </c>
      <c r="AJ39" s="5" t="s">
        <v>203</v>
      </c>
      <c r="AK39" s="5" t="s">
        <v>204</v>
      </c>
      <c r="AL39" s="5" t="s">
        <v>203</v>
      </c>
      <c r="AM39" s="5" t="s">
        <v>204</v>
      </c>
      <c r="AN39" s="5" t="s">
        <v>208</v>
      </c>
      <c r="AO39" s="5" t="s">
        <v>936</v>
      </c>
      <c r="AP39" s="5" t="s">
        <v>208</v>
      </c>
      <c r="AQ39" s="5" t="s">
        <v>200</v>
      </c>
      <c r="AR39" s="5" t="s">
        <v>203</v>
      </c>
      <c r="AS39" s="5" t="s">
        <v>203</v>
      </c>
      <c r="AT39" s="5" t="s">
        <v>203</v>
      </c>
      <c r="AU39" s="5">
        <v>2</v>
      </c>
      <c r="AV39" s="5">
        <v>0</v>
      </c>
      <c r="AW39" s="5" t="s">
        <v>204</v>
      </c>
      <c r="AX39" s="5">
        <v>1</v>
      </c>
      <c r="AY39" s="5" t="s">
        <v>937</v>
      </c>
      <c r="AZ39" s="5">
        <v>0</v>
      </c>
      <c r="BA39" s="5" t="s">
        <v>204</v>
      </c>
      <c r="BB39" s="5">
        <v>3</v>
      </c>
      <c r="BC39" s="5" t="s">
        <v>938</v>
      </c>
      <c r="BD39" s="5">
        <v>0</v>
      </c>
      <c r="BE39" s="5" t="s">
        <v>204</v>
      </c>
      <c r="BF39" s="5">
        <v>0</v>
      </c>
      <c r="BG39" s="5" t="s">
        <v>204</v>
      </c>
      <c r="BH39" s="5">
        <v>0</v>
      </c>
      <c r="BI39" s="5" t="s">
        <v>204</v>
      </c>
      <c r="BJ39" s="5">
        <v>0</v>
      </c>
      <c r="BK39" s="5" t="s">
        <v>204</v>
      </c>
      <c r="BL39" s="5" t="s">
        <v>214</v>
      </c>
      <c r="BM39" s="5" t="s">
        <v>939</v>
      </c>
      <c r="BN39" s="5" t="s">
        <v>200</v>
      </c>
      <c r="BO39" s="5" t="s">
        <v>208</v>
      </c>
      <c r="BP39" s="5" t="s">
        <v>203</v>
      </c>
      <c r="BQ39" s="5" t="s">
        <v>203</v>
      </c>
      <c r="BR39" s="5" t="s">
        <v>203</v>
      </c>
      <c r="BS39" s="5" t="s">
        <v>203</v>
      </c>
      <c r="BT39" s="5" t="s">
        <v>203</v>
      </c>
      <c r="BU39" s="5" t="s">
        <v>204</v>
      </c>
      <c r="BV39" s="5">
        <f>COUNTIF(BN39:BT39, "yes")</f>
        <v>2</v>
      </c>
      <c r="BW39" s="5" t="s">
        <v>203</v>
      </c>
      <c r="BX39" s="5" t="s">
        <v>203</v>
      </c>
      <c r="BY39" s="5" t="s">
        <v>203</v>
      </c>
      <c r="BZ39" s="5" t="s">
        <v>204</v>
      </c>
      <c r="CA39" s="5">
        <f>COUNTIF(BW39:BY39, "yes")</f>
        <v>0</v>
      </c>
      <c r="CB39" s="5" t="s">
        <v>203</v>
      </c>
      <c r="CC39" s="5" t="s">
        <v>203</v>
      </c>
      <c r="CD39" s="5" t="s">
        <v>203</v>
      </c>
      <c r="CE39" s="5" t="s">
        <v>208</v>
      </c>
      <c r="CF39" s="5" t="s">
        <v>203</v>
      </c>
      <c r="CG39" s="5" t="s">
        <v>210</v>
      </c>
      <c r="CH39" s="5" t="s">
        <v>203</v>
      </c>
      <c r="CI39" s="5" t="s">
        <v>208</v>
      </c>
      <c r="CJ39" s="5" t="s">
        <v>940</v>
      </c>
      <c r="CK39" s="5">
        <f>COUNTIF(CB39:CI39, "yes")</f>
        <v>2</v>
      </c>
      <c r="CL39" s="5" t="s">
        <v>216</v>
      </c>
      <c r="CM39" s="5">
        <v>0</v>
      </c>
      <c r="CN39" s="5" t="s">
        <v>217</v>
      </c>
      <c r="CO39" s="5">
        <v>3</v>
      </c>
      <c r="CP39" s="5" t="s">
        <v>217</v>
      </c>
      <c r="CQ39" s="5">
        <v>1</v>
      </c>
      <c r="CR39" s="5" t="s">
        <v>217</v>
      </c>
      <c r="CS39" s="5">
        <v>2</v>
      </c>
      <c r="CT39" s="5" t="s">
        <v>251</v>
      </c>
      <c r="CU39" s="5">
        <v>0</v>
      </c>
      <c r="CV39" s="5" t="s">
        <v>216</v>
      </c>
      <c r="CW39" s="5">
        <v>0</v>
      </c>
      <c r="CX39" s="5" t="s">
        <v>216</v>
      </c>
      <c r="CY39" s="5">
        <v>0</v>
      </c>
      <c r="CZ39" s="5" t="s">
        <v>216</v>
      </c>
      <c r="DA39" s="5">
        <v>0</v>
      </c>
      <c r="DB39" s="5" t="s">
        <v>216</v>
      </c>
      <c r="DC39" s="5">
        <v>0</v>
      </c>
      <c r="DD39" s="5" t="s">
        <v>216</v>
      </c>
      <c r="DE39" s="5">
        <v>0</v>
      </c>
      <c r="DF39" s="5" t="s">
        <v>941</v>
      </c>
      <c r="DG39" s="5" t="s">
        <v>203</v>
      </c>
      <c r="DH39" s="5" t="s">
        <v>208</v>
      </c>
      <c r="DI39" s="5" t="s">
        <v>208</v>
      </c>
      <c r="DJ39" s="5" t="s">
        <v>203</v>
      </c>
      <c r="DK39" s="5" t="s">
        <v>200</v>
      </c>
      <c r="DL39" s="5" t="s">
        <v>208</v>
      </c>
      <c r="DM39" s="5" t="s">
        <v>208</v>
      </c>
      <c r="DN39" s="5" t="s">
        <v>942</v>
      </c>
      <c r="DO39" s="5" t="s">
        <v>210</v>
      </c>
      <c r="DP39" s="5" t="s">
        <v>221</v>
      </c>
      <c r="DQ39" s="5" t="s">
        <v>633</v>
      </c>
      <c r="DR39" s="5" t="s">
        <v>203</v>
      </c>
      <c r="DS39" s="5" t="s">
        <v>204</v>
      </c>
      <c r="DT39" s="5" t="s">
        <v>210</v>
      </c>
      <c r="DU39" s="5" t="s">
        <v>219</v>
      </c>
      <c r="DV39" s="5" t="s">
        <v>204</v>
      </c>
      <c r="DW39" s="5" t="s">
        <v>200</v>
      </c>
      <c r="DX39" s="5" t="s">
        <v>943</v>
      </c>
      <c r="DY39" s="5" t="s">
        <v>210</v>
      </c>
      <c r="DZ39" s="5" t="s">
        <v>334</v>
      </c>
      <c r="EA39" s="5" t="s">
        <v>944</v>
      </c>
      <c r="EB39" s="5" t="s">
        <v>203</v>
      </c>
      <c r="EC39" s="5" t="s">
        <v>204</v>
      </c>
      <c r="ED39" s="5" t="s">
        <v>210</v>
      </c>
      <c r="EE39" s="5" t="s">
        <v>219</v>
      </c>
      <c r="EF39" s="5" t="s">
        <v>204</v>
      </c>
      <c r="EG39" s="5" t="s">
        <v>208</v>
      </c>
      <c r="EH39" s="5" t="s">
        <v>945</v>
      </c>
      <c r="EI39" s="5" t="s">
        <v>210</v>
      </c>
      <c r="EJ39" s="5" t="s">
        <v>221</v>
      </c>
      <c r="EK39" s="5" t="s">
        <v>946</v>
      </c>
      <c r="EL39" s="5" t="s">
        <v>208</v>
      </c>
      <c r="EM39" s="5" t="s">
        <v>947</v>
      </c>
      <c r="EN39" s="5" t="s">
        <v>210</v>
      </c>
      <c r="EO39" s="5" t="s">
        <v>334</v>
      </c>
      <c r="EP39" s="5" t="s">
        <v>948</v>
      </c>
      <c r="EQ39" s="5" t="s">
        <v>203</v>
      </c>
      <c r="ER39" s="5" t="s">
        <v>949</v>
      </c>
      <c r="ES39" s="79" t="s">
        <v>204</v>
      </c>
      <c r="ET39" s="20" t="s">
        <v>292</v>
      </c>
      <c r="EU39" s="5" t="s">
        <v>204</v>
      </c>
      <c r="EV39" s="80" t="s">
        <v>371</v>
      </c>
      <c r="EW39" s="5" t="s">
        <v>371</v>
      </c>
      <c r="EX39" s="5" t="s">
        <v>371</v>
      </c>
      <c r="EY39" s="5" t="s">
        <v>227</v>
      </c>
      <c r="EZ39" s="5" t="s">
        <v>228</v>
      </c>
      <c r="FA39" s="5" t="s">
        <v>208</v>
      </c>
      <c r="FB39" s="5" t="s">
        <v>950</v>
      </c>
      <c r="FC39" s="5" t="s">
        <v>208</v>
      </c>
      <c r="FD39" s="5" t="s">
        <v>315</v>
      </c>
      <c r="FE39" s="5">
        <f>AMSTAR!BG36</f>
        <v>13</v>
      </c>
      <c r="FF39" s="5">
        <f>AMSTAR!BF36</f>
        <v>5.5</v>
      </c>
      <c r="FG39" s="34">
        <f t="shared" si="1"/>
        <v>0.42307692307692307</v>
      </c>
    </row>
    <row r="40" spans="1:163">
      <c r="A40" s="5"/>
      <c r="B40" s="13" t="s">
        <v>193</v>
      </c>
      <c r="C40" s="14" t="s">
        <v>951</v>
      </c>
      <c r="D40" s="14">
        <v>2015</v>
      </c>
      <c r="E40" s="14" t="s">
        <v>952</v>
      </c>
      <c r="F40" s="14" t="s">
        <v>196</v>
      </c>
      <c r="G40" s="83" t="s">
        <v>953</v>
      </c>
      <c r="H40" s="5" t="s">
        <v>954</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t="s">
        <v>955</v>
      </c>
      <c r="BN40" s="5"/>
      <c r="BO40" s="5" t="s">
        <v>956</v>
      </c>
      <c r="BP40" s="5"/>
      <c r="BQ40" s="5"/>
      <c r="BR40" s="5"/>
      <c r="BS40" s="5"/>
      <c r="BT40" s="5"/>
      <c r="BU40" s="5"/>
      <c r="BV40" s="5">
        <f>COUNTIF(BN40:BT40, "yes")</f>
        <v>0</v>
      </c>
      <c r="BW40" s="5" t="s">
        <v>203</v>
      </c>
      <c r="BX40" s="5" t="s">
        <v>203</v>
      </c>
      <c r="BY40" s="5" t="s">
        <v>203</v>
      </c>
      <c r="BZ40" s="5" t="s">
        <v>204</v>
      </c>
      <c r="CA40" s="5">
        <f>COUNTIF(BW40:BY40, "yes")</f>
        <v>0</v>
      </c>
      <c r="CB40" s="5"/>
      <c r="CC40" s="5"/>
      <c r="CD40" s="5"/>
      <c r="CE40" s="5"/>
      <c r="CF40" s="5"/>
      <c r="CG40" s="5"/>
      <c r="CH40" s="5"/>
      <c r="CI40" s="5"/>
      <c r="CJ40" s="5"/>
      <c r="CK40" s="5">
        <f>COUNTIF(CB40:CI40, "yes")</f>
        <v>0</v>
      </c>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t="s">
        <v>956</v>
      </c>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79"/>
      <c r="ET40" s="20"/>
      <c r="EU40" s="5"/>
      <c r="EV40" s="80"/>
      <c r="EW40" s="80"/>
      <c r="EX40" s="80"/>
      <c r="EY40" s="5"/>
      <c r="EZ40" s="5"/>
      <c r="FA40" s="5"/>
      <c r="FB40" s="5"/>
      <c r="FC40" s="5"/>
      <c r="FD40" s="5"/>
      <c r="FE40" s="5"/>
      <c r="FF40" s="5"/>
      <c r="FG40" s="34"/>
    </row>
    <row r="41" spans="1:163">
      <c r="A41" s="5"/>
      <c r="B41" s="12">
        <v>38178</v>
      </c>
      <c r="C41" s="14" t="s">
        <v>957</v>
      </c>
      <c r="D41" s="14">
        <v>2020</v>
      </c>
      <c r="E41" s="14" t="s">
        <v>958</v>
      </c>
      <c r="F41" s="14" t="s">
        <v>341</v>
      </c>
      <c r="G41" s="5" t="s">
        <v>959</v>
      </c>
      <c r="H41" s="5" t="s">
        <v>198</v>
      </c>
      <c r="I41" s="5">
        <v>7</v>
      </c>
      <c r="J41" s="5" t="s">
        <v>960</v>
      </c>
      <c r="K41" s="5" t="s">
        <v>200</v>
      </c>
      <c r="L41" s="5" t="s">
        <v>201</v>
      </c>
      <c r="M41" s="78">
        <v>43391</v>
      </c>
      <c r="N41" s="5" t="s">
        <v>202</v>
      </c>
      <c r="O41" s="82">
        <v>2018</v>
      </c>
      <c r="P41" s="5" t="s">
        <v>200</v>
      </c>
      <c r="Q41" s="5" t="s">
        <v>961</v>
      </c>
      <c r="R41" s="5" t="s">
        <v>962</v>
      </c>
      <c r="S41" s="5" t="s">
        <v>963</v>
      </c>
      <c r="T41" s="5" t="s">
        <v>241</v>
      </c>
      <c r="U41" s="5" t="s">
        <v>964</v>
      </c>
      <c r="V41" s="5" t="s">
        <v>208</v>
      </c>
      <c r="W41" s="5" t="s">
        <v>208</v>
      </c>
      <c r="X41" s="5">
        <v>10</v>
      </c>
      <c r="Y41" s="5">
        <v>10</v>
      </c>
      <c r="Z41" s="5">
        <v>10</v>
      </c>
      <c r="AA41" s="5" t="s">
        <v>204</v>
      </c>
      <c r="AB41" s="5">
        <v>213</v>
      </c>
      <c r="AC41" s="5" t="s">
        <v>209</v>
      </c>
      <c r="AD41" s="5" t="s">
        <v>209</v>
      </c>
      <c r="AE41" s="5">
        <v>17</v>
      </c>
      <c r="AF41" s="5">
        <v>33</v>
      </c>
      <c r="AG41" s="5" t="s">
        <v>965</v>
      </c>
      <c r="AH41" s="5" t="s">
        <v>966</v>
      </c>
      <c r="AI41" s="5">
        <f t="shared" ref="AI41:AI60" si="3">COUNTIF(AJ41:AN41, "yes")</f>
        <v>1</v>
      </c>
      <c r="AJ41" s="5" t="s">
        <v>200</v>
      </c>
      <c r="AK41" s="5" t="s">
        <v>967</v>
      </c>
      <c r="AL41" s="5" t="s">
        <v>203</v>
      </c>
      <c r="AM41" s="5" t="s">
        <v>204</v>
      </c>
      <c r="AN41" s="5" t="s">
        <v>203</v>
      </c>
      <c r="AO41" s="5" t="s">
        <v>204</v>
      </c>
      <c r="AP41" s="5" t="s">
        <v>371</v>
      </c>
      <c r="AQ41" s="5" t="s">
        <v>372</v>
      </c>
      <c r="AR41" s="5" t="s">
        <v>372</v>
      </c>
      <c r="AS41" s="5" t="s">
        <v>372</v>
      </c>
      <c r="AT41" s="5" t="s">
        <v>372</v>
      </c>
      <c r="AU41" s="5">
        <v>3</v>
      </c>
      <c r="AV41" s="5">
        <v>1</v>
      </c>
      <c r="AW41" s="5" t="s">
        <v>968</v>
      </c>
      <c r="AX41" s="5">
        <v>0</v>
      </c>
      <c r="AY41" s="5" t="s">
        <v>204</v>
      </c>
      <c r="AZ41" s="5">
        <v>0</v>
      </c>
      <c r="BA41" s="5" t="s">
        <v>204</v>
      </c>
      <c r="BB41" s="5">
        <v>6</v>
      </c>
      <c r="BC41" s="5" t="s">
        <v>969</v>
      </c>
      <c r="BD41" s="5">
        <v>0</v>
      </c>
      <c r="BE41" s="5" t="s">
        <v>204</v>
      </c>
      <c r="BF41" s="5">
        <v>0</v>
      </c>
      <c r="BG41" s="5" t="s">
        <v>204</v>
      </c>
      <c r="BH41" s="5">
        <v>0</v>
      </c>
      <c r="BI41" s="5" t="s">
        <v>204</v>
      </c>
      <c r="BJ41" s="5">
        <v>0</v>
      </c>
      <c r="BK41" s="5" t="s">
        <v>204</v>
      </c>
      <c r="BL41" s="5" t="s">
        <v>328</v>
      </c>
      <c r="BM41" s="5" t="s">
        <v>970</v>
      </c>
      <c r="BN41" s="5" t="s">
        <v>254</v>
      </c>
      <c r="BO41" s="5" t="s">
        <v>200</v>
      </c>
      <c r="BP41" s="5" t="s">
        <v>210</v>
      </c>
      <c r="BQ41" s="5" t="s">
        <v>200</v>
      </c>
      <c r="BR41" s="5" t="s">
        <v>203</v>
      </c>
      <c r="BS41" s="5" t="s">
        <v>203</v>
      </c>
      <c r="BT41" s="5" t="s">
        <v>203</v>
      </c>
      <c r="BU41" s="5" t="s">
        <v>204</v>
      </c>
      <c r="BV41" s="5">
        <f>COUNTIF(BN41:BT41, "yes")</f>
        <v>2</v>
      </c>
      <c r="BW41" s="5" t="s">
        <v>203</v>
      </c>
      <c r="BX41" s="5" t="s">
        <v>203</v>
      </c>
      <c r="BY41" s="5" t="s">
        <v>203</v>
      </c>
      <c r="BZ41" s="5" t="s">
        <v>204</v>
      </c>
      <c r="CA41" s="5">
        <f>COUNTIF(BW41:BY41, "yes")</f>
        <v>0</v>
      </c>
      <c r="CB41" s="5" t="s">
        <v>210</v>
      </c>
      <c r="CC41" s="5" t="s">
        <v>200</v>
      </c>
      <c r="CD41" s="5" t="s">
        <v>200</v>
      </c>
      <c r="CE41" s="5" t="s">
        <v>200</v>
      </c>
      <c r="CF41" s="5" t="s">
        <v>200</v>
      </c>
      <c r="CG41" s="5" t="s">
        <v>971</v>
      </c>
      <c r="CH41" s="5" t="s">
        <v>203</v>
      </c>
      <c r="CI41" s="5" t="s">
        <v>203</v>
      </c>
      <c r="CJ41" s="5" t="s">
        <v>204</v>
      </c>
      <c r="CK41" s="5">
        <f>COUNTIF(CB41:CI41, "yes")</f>
        <v>4</v>
      </c>
      <c r="CL41" s="5" t="s">
        <v>251</v>
      </c>
      <c r="CM41" s="5">
        <v>0</v>
      </c>
      <c r="CN41" s="5" t="s">
        <v>251</v>
      </c>
      <c r="CO41" s="5">
        <v>0</v>
      </c>
      <c r="CP41" s="5" t="s">
        <v>251</v>
      </c>
      <c r="CQ41" s="5">
        <v>0</v>
      </c>
      <c r="CR41" s="5" t="s">
        <v>251</v>
      </c>
      <c r="CS41" s="5">
        <v>0</v>
      </c>
      <c r="CT41" s="5" t="s">
        <v>251</v>
      </c>
      <c r="CU41" s="5">
        <v>0</v>
      </c>
      <c r="CV41" s="5" t="s">
        <v>251</v>
      </c>
      <c r="CW41" s="5">
        <v>0</v>
      </c>
      <c r="CX41" s="5" t="s">
        <v>217</v>
      </c>
      <c r="CY41" s="5">
        <v>3</v>
      </c>
      <c r="CZ41" s="5" t="s">
        <v>217</v>
      </c>
      <c r="DA41" s="5">
        <v>7</v>
      </c>
      <c r="DB41" s="5" t="s">
        <v>216</v>
      </c>
      <c r="DC41" s="5">
        <v>0</v>
      </c>
      <c r="DD41" s="5" t="s">
        <v>216</v>
      </c>
      <c r="DE41" s="5" t="s">
        <v>204</v>
      </c>
      <c r="DF41" s="5" t="s">
        <v>302</v>
      </c>
      <c r="DG41" s="5" t="s">
        <v>210</v>
      </c>
      <c r="DH41" s="5" t="s">
        <v>210</v>
      </c>
      <c r="DI41" s="5" t="s">
        <v>210</v>
      </c>
      <c r="DJ41" s="5" t="s">
        <v>210</v>
      </c>
      <c r="DK41" s="5" t="s">
        <v>210</v>
      </c>
      <c r="DL41" s="5" t="s">
        <v>210</v>
      </c>
      <c r="DM41" s="5" t="s">
        <v>200</v>
      </c>
      <c r="DN41" s="5" t="s">
        <v>972</v>
      </c>
      <c r="DO41" s="5" t="s">
        <v>210</v>
      </c>
      <c r="DP41" s="5" t="s">
        <v>221</v>
      </c>
      <c r="DQ41" s="5" t="s">
        <v>973</v>
      </c>
      <c r="DR41" s="5" t="s">
        <v>203</v>
      </c>
      <c r="DS41" s="5" t="s">
        <v>204</v>
      </c>
      <c r="DT41" s="5" t="s">
        <v>204</v>
      </c>
      <c r="DU41" s="5" t="s">
        <v>219</v>
      </c>
      <c r="DV41" s="5" t="s">
        <v>204</v>
      </c>
      <c r="DW41" s="5" t="s">
        <v>208</v>
      </c>
      <c r="DX41" s="5" t="s">
        <v>974</v>
      </c>
      <c r="DY41" s="5" t="s">
        <v>210</v>
      </c>
      <c r="DZ41" s="5" t="s">
        <v>221</v>
      </c>
      <c r="EA41" s="5" t="s">
        <v>973</v>
      </c>
      <c r="EB41" s="5" t="s">
        <v>203</v>
      </c>
      <c r="EC41" s="5" t="s">
        <v>204</v>
      </c>
      <c r="ED41" s="5" t="s">
        <v>210</v>
      </c>
      <c r="EE41" s="5" t="s">
        <v>219</v>
      </c>
      <c r="EF41" s="5" t="s">
        <v>204</v>
      </c>
      <c r="EG41" s="5" t="s">
        <v>203</v>
      </c>
      <c r="EH41" s="5" t="s">
        <v>204</v>
      </c>
      <c r="EI41" s="5" t="s">
        <v>210</v>
      </c>
      <c r="EJ41" s="5" t="s">
        <v>219</v>
      </c>
      <c r="EK41" s="5" t="s">
        <v>204</v>
      </c>
      <c r="EL41" s="5" t="s">
        <v>203</v>
      </c>
      <c r="EM41" s="5" t="s">
        <v>204</v>
      </c>
      <c r="EN41" s="5" t="s">
        <v>210</v>
      </c>
      <c r="EO41" s="5" t="s">
        <v>219</v>
      </c>
      <c r="EP41" s="5" t="s">
        <v>204</v>
      </c>
      <c r="EQ41" s="5" t="s">
        <v>200</v>
      </c>
      <c r="ER41" s="5" t="s">
        <v>975</v>
      </c>
      <c r="ES41" s="79" t="s">
        <v>976</v>
      </c>
      <c r="ET41" s="20" t="s">
        <v>529</v>
      </c>
      <c r="EU41" s="5" t="s">
        <v>977</v>
      </c>
      <c r="EV41" s="80" t="s">
        <v>371</v>
      </c>
      <c r="EW41" s="80" t="s">
        <v>371</v>
      </c>
      <c r="EX41" s="80" t="s">
        <v>204</v>
      </c>
      <c r="EY41" s="5" t="s">
        <v>227</v>
      </c>
      <c r="EZ41" s="5" t="s">
        <v>420</v>
      </c>
      <c r="FA41" s="5" t="s">
        <v>203</v>
      </c>
      <c r="FB41" s="5" t="s">
        <v>204</v>
      </c>
      <c r="FC41" s="5" t="s">
        <v>208</v>
      </c>
      <c r="FD41" s="5" t="s">
        <v>315</v>
      </c>
      <c r="FE41" s="5">
        <f>AMSTAR!BG37</f>
        <v>13</v>
      </c>
      <c r="FF41" s="5">
        <f>AMSTAR!BF37</f>
        <v>5.5</v>
      </c>
      <c r="FG41" s="34">
        <f t="shared" si="1"/>
        <v>0.42307692307692307</v>
      </c>
    </row>
    <row r="42" spans="1:163">
      <c r="A42" s="5"/>
      <c r="B42" s="12">
        <v>12643</v>
      </c>
      <c r="C42" s="14" t="s">
        <v>978</v>
      </c>
      <c r="D42" s="14">
        <v>2019</v>
      </c>
      <c r="E42" s="14" t="s">
        <v>979</v>
      </c>
      <c r="F42" s="14" t="s">
        <v>233</v>
      </c>
      <c r="G42" s="5" t="s">
        <v>980</v>
      </c>
      <c r="H42" s="5" t="s">
        <v>198</v>
      </c>
      <c r="I42" s="5">
        <v>3</v>
      </c>
      <c r="J42" s="5" t="s">
        <v>981</v>
      </c>
      <c r="K42" s="5" t="s">
        <v>203</v>
      </c>
      <c r="L42" s="5" t="s">
        <v>298</v>
      </c>
      <c r="M42" s="91">
        <v>43070</v>
      </c>
      <c r="N42" s="5">
        <v>1980</v>
      </c>
      <c r="O42" s="82">
        <v>2017</v>
      </c>
      <c r="P42" s="5" t="s">
        <v>210</v>
      </c>
      <c r="Q42" s="5" t="s">
        <v>204</v>
      </c>
      <c r="R42" s="5" t="s">
        <v>982</v>
      </c>
      <c r="S42" s="5" t="s">
        <v>983</v>
      </c>
      <c r="T42" s="5" t="s">
        <v>241</v>
      </c>
      <c r="U42" s="5" t="s">
        <v>808</v>
      </c>
      <c r="V42" s="5" t="s">
        <v>208</v>
      </c>
      <c r="W42" s="5" t="s">
        <v>210</v>
      </c>
      <c r="X42" s="5">
        <v>41</v>
      </c>
      <c r="Y42" s="5">
        <v>41</v>
      </c>
      <c r="Z42" s="5">
        <v>41</v>
      </c>
      <c r="AA42" s="5" t="s">
        <v>204</v>
      </c>
      <c r="AB42" s="5">
        <v>1021</v>
      </c>
      <c r="AC42" s="5" t="s">
        <v>209</v>
      </c>
      <c r="AD42" s="5" t="s">
        <v>209</v>
      </c>
      <c r="AE42" s="5" t="s">
        <v>209</v>
      </c>
      <c r="AF42" s="5" t="s">
        <v>209</v>
      </c>
      <c r="AG42" s="5" t="s">
        <v>209</v>
      </c>
      <c r="AH42" s="5" t="s">
        <v>204</v>
      </c>
      <c r="AI42" s="5">
        <f t="shared" si="3"/>
        <v>1</v>
      </c>
      <c r="AJ42" s="5" t="s">
        <v>208</v>
      </c>
      <c r="AK42" s="5" t="s">
        <v>984</v>
      </c>
      <c r="AL42" s="5" t="s">
        <v>203</v>
      </c>
      <c r="AM42" s="5" t="s">
        <v>204</v>
      </c>
      <c r="AN42" s="5" t="s">
        <v>203</v>
      </c>
      <c r="AO42" s="5" t="s">
        <v>204</v>
      </c>
      <c r="AP42" s="5" t="s">
        <v>203</v>
      </c>
      <c r="AQ42" s="5" t="s">
        <v>203</v>
      </c>
      <c r="AR42" s="5" t="s">
        <v>203</v>
      </c>
      <c r="AS42" s="5" t="s">
        <v>203</v>
      </c>
      <c r="AT42" s="5" t="s">
        <v>203</v>
      </c>
      <c r="AU42" s="5" t="s">
        <v>209</v>
      </c>
      <c r="AV42" s="5" t="s">
        <v>209</v>
      </c>
      <c r="AW42" s="5" t="s">
        <v>204</v>
      </c>
      <c r="AX42" s="5" t="s">
        <v>209</v>
      </c>
      <c r="AY42" s="5" t="s">
        <v>204</v>
      </c>
      <c r="AZ42" s="5" t="s">
        <v>209</v>
      </c>
      <c r="BA42" s="5" t="s">
        <v>204</v>
      </c>
      <c r="BB42" s="5" t="s">
        <v>209</v>
      </c>
      <c r="BC42" s="5" t="s">
        <v>204</v>
      </c>
      <c r="BD42" s="5" t="s">
        <v>209</v>
      </c>
      <c r="BE42" s="5" t="s">
        <v>204</v>
      </c>
      <c r="BF42" s="5" t="s">
        <v>209</v>
      </c>
      <c r="BG42" s="5" t="s">
        <v>204</v>
      </c>
      <c r="BH42" s="5" t="s">
        <v>209</v>
      </c>
      <c r="BI42" s="5" t="s">
        <v>204</v>
      </c>
      <c r="BJ42" s="5" t="s">
        <v>209</v>
      </c>
      <c r="BK42" s="5" t="s">
        <v>204</v>
      </c>
      <c r="BL42" s="5" t="s">
        <v>249</v>
      </c>
      <c r="BM42" s="5" t="s">
        <v>985</v>
      </c>
      <c r="BN42" s="5" t="s">
        <v>254</v>
      </c>
      <c r="BO42" s="5" t="s">
        <v>208</v>
      </c>
      <c r="BP42" s="5" t="s">
        <v>203</v>
      </c>
      <c r="BQ42" s="5" t="s">
        <v>203</v>
      </c>
      <c r="BR42" s="5" t="s">
        <v>203</v>
      </c>
      <c r="BS42" s="5" t="s">
        <v>208</v>
      </c>
      <c r="BT42" s="5" t="s">
        <v>203</v>
      </c>
      <c r="BU42" s="5" t="s">
        <v>210</v>
      </c>
      <c r="BV42" s="5">
        <f>COUNTIF(BN42:BT42, "yes")</f>
        <v>2</v>
      </c>
      <c r="BW42" s="5" t="s">
        <v>203</v>
      </c>
      <c r="BX42" s="5" t="s">
        <v>203</v>
      </c>
      <c r="BY42" s="5" t="s">
        <v>203</v>
      </c>
      <c r="BZ42" s="5" t="s">
        <v>204</v>
      </c>
      <c r="CA42" s="5">
        <f>COUNTIF(BW42:BY42, "yes")</f>
        <v>0</v>
      </c>
      <c r="CB42" s="5" t="s">
        <v>203</v>
      </c>
      <c r="CC42" s="5" t="s">
        <v>203</v>
      </c>
      <c r="CD42" s="5" t="s">
        <v>203</v>
      </c>
      <c r="CE42" s="5" t="s">
        <v>203</v>
      </c>
      <c r="CF42" s="5" t="s">
        <v>254</v>
      </c>
      <c r="CG42" s="5" t="s">
        <v>971</v>
      </c>
      <c r="CH42" s="5" t="s">
        <v>203</v>
      </c>
      <c r="CI42" s="5" t="s">
        <v>210</v>
      </c>
      <c r="CJ42" s="5" t="s">
        <v>204</v>
      </c>
      <c r="CK42" s="5">
        <f>COUNTIF(CB42:CI42, "yes")</f>
        <v>0</v>
      </c>
      <c r="CL42" s="5" t="s">
        <v>252</v>
      </c>
      <c r="CM42" s="5">
        <v>0</v>
      </c>
      <c r="CN42" s="5" t="s">
        <v>217</v>
      </c>
      <c r="CO42" s="5">
        <v>11</v>
      </c>
      <c r="CP42" s="5" t="s">
        <v>217</v>
      </c>
      <c r="CQ42" s="5">
        <v>9</v>
      </c>
      <c r="CR42" s="5" t="s">
        <v>217</v>
      </c>
      <c r="CS42" s="5">
        <v>21</v>
      </c>
      <c r="CT42" s="5" t="s">
        <v>252</v>
      </c>
      <c r="CU42" s="5">
        <v>0</v>
      </c>
      <c r="CV42" s="5" t="s">
        <v>252</v>
      </c>
      <c r="CW42" s="5">
        <v>0</v>
      </c>
      <c r="CX42" s="5" t="s">
        <v>252</v>
      </c>
      <c r="CY42" s="5">
        <v>0</v>
      </c>
      <c r="CZ42" s="5" t="s">
        <v>252</v>
      </c>
      <c r="DA42" s="5">
        <v>0</v>
      </c>
      <c r="DB42" s="5" t="s">
        <v>252</v>
      </c>
      <c r="DC42" s="5">
        <v>0</v>
      </c>
      <c r="DD42" s="5" t="s">
        <v>252</v>
      </c>
      <c r="DE42" s="5" t="s">
        <v>204</v>
      </c>
      <c r="DF42" s="5" t="s">
        <v>986</v>
      </c>
      <c r="DG42" s="5" t="s">
        <v>254</v>
      </c>
      <c r="DH42" s="5" t="s">
        <v>254</v>
      </c>
      <c r="DI42" s="5" t="s">
        <v>254</v>
      </c>
      <c r="DJ42" s="5" t="s">
        <v>254</v>
      </c>
      <c r="DK42" s="5" t="s">
        <v>254</v>
      </c>
      <c r="DL42" s="5" t="s">
        <v>254</v>
      </c>
      <c r="DM42" s="5" t="s">
        <v>200</v>
      </c>
      <c r="DN42" s="5" t="s">
        <v>987</v>
      </c>
      <c r="DO42" s="5" t="s">
        <v>210</v>
      </c>
      <c r="DP42" s="5" t="s">
        <v>221</v>
      </c>
      <c r="DQ42" s="5" t="s">
        <v>988</v>
      </c>
      <c r="DR42" s="5" t="s">
        <v>203</v>
      </c>
      <c r="DS42" s="5" t="s">
        <v>204</v>
      </c>
      <c r="DT42" s="5" t="s">
        <v>204</v>
      </c>
      <c r="DU42" s="5" t="s">
        <v>219</v>
      </c>
      <c r="DV42" s="5" t="s">
        <v>204</v>
      </c>
      <c r="DW42" s="5" t="s">
        <v>203</v>
      </c>
      <c r="DX42" s="5" t="s">
        <v>204</v>
      </c>
      <c r="DY42" s="5" t="s">
        <v>210</v>
      </c>
      <c r="DZ42" s="5" t="s">
        <v>219</v>
      </c>
      <c r="EA42" s="5" t="s">
        <v>204</v>
      </c>
      <c r="EB42" s="5" t="s">
        <v>203</v>
      </c>
      <c r="EC42" s="5" t="s">
        <v>204</v>
      </c>
      <c r="ED42" s="5" t="s">
        <v>210</v>
      </c>
      <c r="EE42" s="5" t="s">
        <v>219</v>
      </c>
      <c r="EF42" s="5" t="s">
        <v>204</v>
      </c>
      <c r="EG42" s="5" t="s">
        <v>203</v>
      </c>
      <c r="EH42" s="5" t="s">
        <v>204</v>
      </c>
      <c r="EI42" s="5" t="s">
        <v>210</v>
      </c>
      <c r="EJ42" s="5" t="s">
        <v>219</v>
      </c>
      <c r="EK42" s="5" t="s">
        <v>204</v>
      </c>
      <c r="EL42" s="5" t="s">
        <v>203</v>
      </c>
      <c r="EM42" s="5" t="s">
        <v>204</v>
      </c>
      <c r="EN42" s="5" t="s">
        <v>210</v>
      </c>
      <c r="EO42" s="5" t="s">
        <v>219</v>
      </c>
      <c r="EP42" s="5" t="s">
        <v>204</v>
      </c>
      <c r="EQ42" s="5" t="s">
        <v>208</v>
      </c>
      <c r="ER42" s="5" t="s">
        <v>989</v>
      </c>
      <c r="ES42" s="79" t="s">
        <v>990</v>
      </c>
      <c r="ET42" s="20" t="s">
        <v>292</v>
      </c>
      <c r="EU42" s="5" t="s">
        <v>204</v>
      </c>
      <c r="EV42" s="80" t="s">
        <v>371</v>
      </c>
      <c r="EW42" s="5" t="s">
        <v>371</v>
      </c>
      <c r="EX42" s="5" t="s">
        <v>371</v>
      </c>
      <c r="EY42" s="5" t="s">
        <v>227</v>
      </c>
      <c r="EZ42" s="5" t="s">
        <v>228</v>
      </c>
      <c r="FA42" s="5" t="s">
        <v>200</v>
      </c>
      <c r="FB42" s="5" t="s">
        <v>991</v>
      </c>
      <c r="FC42" s="5" t="s">
        <v>208</v>
      </c>
      <c r="FD42" s="5" t="s">
        <v>315</v>
      </c>
      <c r="FE42" s="5">
        <f>AMSTAR!BG38</f>
        <v>13</v>
      </c>
      <c r="FF42" s="5">
        <f>AMSTAR!BF38</f>
        <v>1.5</v>
      </c>
      <c r="FG42" s="34">
        <f t="shared" si="1"/>
        <v>0.11538461538461539</v>
      </c>
    </row>
    <row r="43" spans="1:163">
      <c r="A43" s="5"/>
      <c r="B43" s="30">
        <v>2287</v>
      </c>
      <c r="C43" s="93" t="s">
        <v>992</v>
      </c>
      <c r="D43" s="93">
        <v>2012</v>
      </c>
      <c r="E43" s="93" t="s">
        <v>993</v>
      </c>
      <c r="F43" s="93" t="s">
        <v>233</v>
      </c>
      <c r="G43" s="80" t="s">
        <v>994</v>
      </c>
      <c r="H43" s="5" t="s">
        <v>198</v>
      </c>
      <c r="I43" s="5">
        <v>4</v>
      </c>
      <c r="J43" s="5" t="s">
        <v>995</v>
      </c>
      <c r="K43" s="5" t="s">
        <v>208</v>
      </c>
      <c r="L43" s="5" t="s">
        <v>236</v>
      </c>
      <c r="M43" s="5" t="s">
        <v>996</v>
      </c>
      <c r="N43" s="5" t="s">
        <v>209</v>
      </c>
      <c r="O43" s="5">
        <v>2010</v>
      </c>
      <c r="P43" s="5" t="s">
        <v>203</v>
      </c>
      <c r="Q43" s="5" t="s">
        <v>204</v>
      </c>
      <c r="R43" s="5" t="s">
        <v>997</v>
      </c>
      <c r="S43" s="5" t="s">
        <v>998</v>
      </c>
      <c r="T43" s="5" t="s">
        <v>241</v>
      </c>
      <c r="U43" s="5" t="s">
        <v>999</v>
      </c>
      <c r="V43" s="5" t="s">
        <v>210</v>
      </c>
      <c r="W43" s="5" t="s">
        <v>210</v>
      </c>
      <c r="X43" s="5">
        <v>20</v>
      </c>
      <c r="Y43" s="5">
        <v>20</v>
      </c>
      <c r="Z43" s="5">
        <v>9</v>
      </c>
      <c r="AA43" s="5" t="s">
        <v>1000</v>
      </c>
      <c r="AB43" s="5">
        <f>SUM(AC43:AD43)</f>
        <v>58</v>
      </c>
      <c r="AC43" s="5">
        <v>44</v>
      </c>
      <c r="AD43" s="5">
        <v>14</v>
      </c>
      <c r="AE43" s="5">
        <v>16</v>
      </c>
      <c r="AF43" s="5">
        <v>55</v>
      </c>
      <c r="AG43" s="5" t="s">
        <v>209</v>
      </c>
      <c r="AH43" s="5" t="s">
        <v>204</v>
      </c>
      <c r="AI43" s="5">
        <f t="shared" si="3"/>
        <v>1</v>
      </c>
      <c r="AJ43" s="5" t="s">
        <v>208</v>
      </c>
      <c r="AK43" s="5" t="s">
        <v>984</v>
      </c>
      <c r="AL43" s="5" t="s">
        <v>203</v>
      </c>
      <c r="AM43" s="5" t="s">
        <v>204</v>
      </c>
      <c r="AN43" s="5" t="s">
        <v>203</v>
      </c>
      <c r="AO43" s="5" t="s">
        <v>204</v>
      </c>
      <c r="AP43" s="5" t="s">
        <v>210</v>
      </c>
      <c r="AQ43" s="5" t="s">
        <v>210</v>
      </c>
      <c r="AR43" s="5" t="s">
        <v>210</v>
      </c>
      <c r="AS43" s="5" t="s">
        <v>210</v>
      </c>
      <c r="AT43" s="5" t="s">
        <v>210</v>
      </c>
      <c r="AU43" s="5" t="s">
        <v>209</v>
      </c>
      <c r="AV43" s="5" t="s">
        <v>209</v>
      </c>
      <c r="AW43" s="5" t="s">
        <v>204</v>
      </c>
      <c r="AX43" s="5" t="s">
        <v>209</v>
      </c>
      <c r="AY43" s="5" t="s">
        <v>204</v>
      </c>
      <c r="AZ43" s="5" t="s">
        <v>209</v>
      </c>
      <c r="BA43" s="5" t="s">
        <v>204</v>
      </c>
      <c r="BB43" s="5" t="s">
        <v>209</v>
      </c>
      <c r="BC43" s="5" t="s">
        <v>204</v>
      </c>
      <c r="BD43" s="5" t="s">
        <v>209</v>
      </c>
      <c r="BE43" s="5" t="s">
        <v>204</v>
      </c>
      <c r="BF43" s="5" t="s">
        <v>209</v>
      </c>
      <c r="BG43" s="5" t="s">
        <v>204</v>
      </c>
      <c r="BH43" s="5" t="s">
        <v>209</v>
      </c>
      <c r="BI43" s="5" t="s">
        <v>204</v>
      </c>
      <c r="BJ43" s="5" t="s">
        <v>209</v>
      </c>
      <c r="BK43" s="5" t="s">
        <v>204</v>
      </c>
      <c r="BL43" s="5" t="s">
        <v>249</v>
      </c>
      <c r="BM43" s="5" t="s">
        <v>1001</v>
      </c>
      <c r="BN43" s="5" t="s">
        <v>210</v>
      </c>
      <c r="BO43" s="5" t="s">
        <v>200</v>
      </c>
      <c r="BP43" s="5" t="s">
        <v>210</v>
      </c>
      <c r="BQ43" s="5" t="s">
        <v>210</v>
      </c>
      <c r="BR43" s="5" t="s">
        <v>210</v>
      </c>
      <c r="BS43" s="5" t="s">
        <v>210</v>
      </c>
      <c r="BT43" s="5" t="s">
        <v>210</v>
      </c>
      <c r="BU43" s="5" t="s">
        <v>210</v>
      </c>
      <c r="BV43" s="5">
        <f>COUNTIF(BN43:BT43, "yes")</f>
        <v>1</v>
      </c>
      <c r="BW43" s="5" t="s">
        <v>203</v>
      </c>
      <c r="BX43" s="5" t="s">
        <v>203</v>
      </c>
      <c r="BY43" s="5" t="s">
        <v>203</v>
      </c>
      <c r="BZ43" s="5" t="s">
        <v>204</v>
      </c>
      <c r="CA43" s="5">
        <f>COUNTIF(BW43:BY43, "yes")</f>
        <v>0</v>
      </c>
      <c r="CB43" s="5" t="s">
        <v>210</v>
      </c>
      <c r="CC43" s="5" t="s">
        <v>210</v>
      </c>
      <c r="CD43" s="5" t="s">
        <v>210</v>
      </c>
      <c r="CE43" s="5" t="s">
        <v>210</v>
      </c>
      <c r="CF43" s="5" t="s">
        <v>210</v>
      </c>
      <c r="CG43" s="5" t="s">
        <v>210</v>
      </c>
      <c r="CH43" s="5" t="s">
        <v>210</v>
      </c>
      <c r="CI43" s="5" t="s">
        <v>210</v>
      </c>
      <c r="CJ43" s="5" t="s">
        <v>204</v>
      </c>
      <c r="CK43" s="5">
        <f>COUNTIF(CB43:CI43, "yes")</f>
        <v>0</v>
      </c>
      <c r="CL43" s="5" t="s">
        <v>216</v>
      </c>
      <c r="CM43" s="5">
        <v>0</v>
      </c>
      <c r="CN43" s="5" t="s">
        <v>251</v>
      </c>
      <c r="CO43" s="5">
        <v>0</v>
      </c>
      <c r="CP43" s="5" t="s">
        <v>217</v>
      </c>
      <c r="CQ43" s="5">
        <v>1</v>
      </c>
      <c r="CR43" s="5" t="s">
        <v>217</v>
      </c>
      <c r="CS43" s="5">
        <v>3</v>
      </c>
      <c r="CT43" s="5" t="s">
        <v>216</v>
      </c>
      <c r="CU43" s="5">
        <v>0</v>
      </c>
      <c r="CV43" s="5" t="s">
        <v>217</v>
      </c>
      <c r="CW43" s="5">
        <v>5</v>
      </c>
      <c r="CX43" s="5" t="s">
        <v>216</v>
      </c>
      <c r="CY43" s="5">
        <v>0</v>
      </c>
      <c r="CZ43" s="5" t="s">
        <v>216</v>
      </c>
      <c r="DA43" s="5">
        <v>0</v>
      </c>
      <c r="DB43" s="5" t="s">
        <v>216</v>
      </c>
      <c r="DC43" s="5">
        <v>0</v>
      </c>
      <c r="DD43" s="5" t="s">
        <v>216</v>
      </c>
      <c r="DE43" s="5">
        <v>0</v>
      </c>
      <c r="DF43" s="5" t="s">
        <v>1002</v>
      </c>
      <c r="DG43" s="5" t="s">
        <v>208</v>
      </c>
      <c r="DH43" s="5" t="s">
        <v>200</v>
      </c>
      <c r="DI43" s="5" t="s">
        <v>254</v>
      </c>
      <c r="DJ43" s="5" t="s">
        <v>254</v>
      </c>
      <c r="DK43" s="5" t="s">
        <v>254</v>
      </c>
      <c r="DL43" s="5" t="s">
        <v>254</v>
      </c>
      <c r="DM43" s="5" t="s">
        <v>208</v>
      </c>
      <c r="DN43" s="5" t="s">
        <v>1003</v>
      </c>
      <c r="DO43" s="5" t="s">
        <v>210</v>
      </c>
      <c r="DP43" s="5" t="s">
        <v>221</v>
      </c>
      <c r="DQ43" s="5" t="s">
        <v>1004</v>
      </c>
      <c r="DR43" s="5" t="s">
        <v>203</v>
      </c>
      <c r="DS43" s="5" t="s">
        <v>204</v>
      </c>
      <c r="DT43" s="5" t="s">
        <v>204</v>
      </c>
      <c r="DU43" s="5" t="s">
        <v>219</v>
      </c>
      <c r="DV43" s="5" t="s">
        <v>204</v>
      </c>
      <c r="DW43" s="5" t="s">
        <v>203</v>
      </c>
      <c r="DX43" s="5" t="s">
        <v>204</v>
      </c>
      <c r="DY43" s="5" t="s">
        <v>204</v>
      </c>
      <c r="DZ43" s="5" t="s">
        <v>219</v>
      </c>
      <c r="EA43" s="5" t="s">
        <v>204</v>
      </c>
      <c r="EB43" s="5" t="s">
        <v>203</v>
      </c>
      <c r="EC43" s="5" t="s">
        <v>204</v>
      </c>
      <c r="ED43" s="5" t="s">
        <v>204</v>
      </c>
      <c r="EE43" s="5" t="s">
        <v>219</v>
      </c>
      <c r="EF43" s="5" t="s">
        <v>204</v>
      </c>
      <c r="EG43" s="5" t="s">
        <v>203</v>
      </c>
      <c r="EH43" s="5" t="s">
        <v>204</v>
      </c>
      <c r="EI43" s="5" t="s">
        <v>204</v>
      </c>
      <c r="EJ43" s="5" t="s">
        <v>219</v>
      </c>
      <c r="EK43" s="5" t="s">
        <v>204</v>
      </c>
      <c r="EL43" s="5" t="s">
        <v>203</v>
      </c>
      <c r="EM43" s="5" t="s">
        <v>204</v>
      </c>
      <c r="EN43" s="5" t="s">
        <v>204</v>
      </c>
      <c r="EO43" s="5" t="s">
        <v>219</v>
      </c>
      <c r="EP43" s="5" t="s">
        <v>204</v>
      </c>
      <c r="EQ43" s="5" t="s">
        <v>208</v>
      </c>
      <c r="ER43" s="5" t="s">
        <v>1005</v>
      </c>
      <c r="ES43" s="79" t="s">
        <v>1006</v>
      </c>
      <c r="ET43" s="20" t="s">
        <v>292</v>
      </c>
      <c r="EU43" s="5" t="s">
        <v>1007</v>
      </c>
      <c r="EV43" s="80" t="s">
        <v>371</v>
      </c>
      <c r="EW43" s="80" t="s">
        <v>371</v>
      </c>
      <c r="EX43" s="80" t="s">
        <v>371</v>
      </c>
      <c r="EY43" s="5" t="s">
        <v>227</v>
      </c>
      <c r="EZ43" s="5" t="s">
        <v>228</v>
      </c>
      <c r="FA43" s="5" t="s">
        <v>203</v>
      </c>
      <c r="FB43" s="5" t="s">
        <v>204</v>
      </c>
      <c r="FC43" s="5" t="s">
        <v>203</v>
      </c>
      <c r="FD43" s="5" t="s">
        <v>204</v>
      </c>
      <c r="FE43" s="5">
        <f>AMSTAR!BG39</f>
        <v>13</v>
      </c>
      <c r="FF43" s="5">
        <f>AMSTAR!BF39</f>
        <v>3.5</v>
      </c>
      <c r="FG43" s="34">
        <f t="shared" si="1"/>
        <v>0.26923076923076922</v>
      </c>
    </row>
    <row r="44" spans="1:163">
      <c r="A44" s="5"/>
      <c r="B44" s="48" t="s">
        <v>193</v>
      </c>
      <c r="C44" s="93" t="s">
        <v>1008</v>
      </c>
      <c r="D44" s="93">
        <v>2020</v>
      </c>
      <c r="E44" s="93" t="s">
        <v>1009</v>
      </c>
      <c r="F44" s="93" t="s">
        <v>233</v>
      </c>
      <c r="G44" s="80" t="s">
        <v>1010</v>
      </c>
      <c r="H44" s="5" t="s">
        <v>198</v>
      </c>
      <c r="I44" s="5">
        <v>14</v>
      </c>
      <c r="J44" s="5" t="s">
        <v>1011</v>
      </c>
      <c r="K44" s="5" t="s">
        <v>200</v>
      </c>
      <c r="L44" s="5" t="s">
        <v>201</v>
      </c>
      <c r="M44" s="91">
        <v>43252</v>
      </c>
      <c r="N44" s="5" t="s">
        <v>202</v>
      </c>
      <c r="O44" s="82">
        <v>2018</v>
      </c>
      <c r="P44" s="5" t="s">
        <v>210</v>
      </c>
      <c r="Q44" s="5" t="s">
        <v>204</v>
      </c>
      <c r="R44" s="5" t="s">
        <v>1012</v>
      </c>
      <c r="S44" s="5" t="s">
        <v>302</v>
      </c>
      <c r="T44" s="5" t="s">
        <v>241</v>
      </c>
      <c r="U44" s="5" t="s">
        <v>1013</v>
      </c>
      <c r="V44" s="5" t="s">
        <v>200</v>
      </c>
      <c r="W44" s="5" t="s">
        <v>210</v>
      </c>
      <c r="X44" s="5">
        <v>16</v>
      </c>
      <c r="Y44" s="5">
        <v>16</v>
      </c>
      <c r="Z44" s="5">
        <v>16</v>
      </c>
      <c r="AA44" s="5" t="s">
        <v>204</v>
      </c>
      <c r="AB44" s="5" t="s">
        <v>209</v>
      </c>
      <c r="AC44" s="5" t="s">
        <v>209</v>
      </c>
      <c r="AD44" s="5" t="s">
        <v>209</v>
      </c>
      <c r="AE44" s="5" t="s">
        <v>209</v>
      </c>
      <c r="AF44" s="5" t="s">
        <v>209</v>
      </c>
      <c r="AG44" s="5" t="s">
        <v>209</v>
      </c>
      <c r="AH44" s="5" t="s">
        <v>1014</v>
      </c>
      <c r="AI44" s="5">
        <f t="shared" si="3"/>
        <v>1</v>
      </c>
      <c r="AJ44" s="5" t="s">
        <v>203</v>
      </c>
      <c r="AK44" s="5" t="s">
        <v>204</v>
      </c>
      <c r="AL44" s="5" t="s">
        <v>203</v>
      </c>
      <c r="AM44" s="5" t="s">
        <v>204</v>
      </c>
      <c r="AN44" s="5" t="s">
        <v>208</v>
      </c>
      <c r="AO44" s="5" t="s">
        <v>1015</v>
      </c>
      <c r="AP44" s="5" t="s">
        <v>209</v>
      </c>
      <c r="AQ44" s="5" t="s">
        <v>209</v>
      </c>
      <c r="AR44" s="5" t="s">
        <v>209</v>
      </c>
      <c r="AS44" s="5" t="s">
        <v>209</v>
      </c>
      <c r="AT44" s="5" t="s">
        <v>209</v>
      </c>
      <c r="AU44" s="5">
        <v>0</v>
      </c>
      <c r="AV44" s="5">
        <v>16</v>
      </c>
      <c r="AW44" s="5" t="s">
        <v>1016</v>
      </c>
      <c r="AX44" s="5">
        <v>0</v>
      </c>
      <c r="AY44" s="5" t="s">
        <v>204</v>
      </c>
      <c r="AZ44" s="5">
        <v>0</v>
      </c>
      <c r="BA44" s="5" t="s">
        <v>204</v>
      </c>
      <c r="BB44" s="5">
        <v>0</v>
      </c>
      <c r="BC44" s="5" t="s">
        <v>204</v>
      </c>
      <c r="BD44" s="5">
        <v>0</v>
      </c>
      <c r="BE44" s="5" t="s">
        <v>204</v>
      </c>
      <c r="BF44" s="5">
        <v>0</v>
      </c>
      <c r="BG44" s="5" t="s">
        <v>204</v>
      </c>
      <c r="BH44" s="5">
        <v>0</v>
      </c>
      <c r="BI44" s="5" t="s">
        <v>204</v>
      </c>
      <c r="BJ44" s="5">
        <v>0</v>
      </c>
      <c r="BK44" s="5" t="s">
        <v>204</v>
      </c>
      <c r="BL44" s="5" t="s">
        <v>214</v>
      </c>
      <c r="BM44" s="5" t="s">
        <v>1017</v>
      </c>
      <c r="BN44" s="5" t="s">
        <v>203</v>
      </c>
      <c r="BO44" s="5" t="s">
        <v>210</v>
      </c>
      <c r="BP44" s="5" t="s">
        <v>210</v>
      </c>
      <c r="BQ44" s="5" t="s">
        <v>203</v>
      </c>
      <c r="BR44" s="5" t="s">
        <v>203</v>
      </c>
      <c r="BS44" s="5" t="s">
        <v>200</v>
      </c>
      <c r="BT44" s="5" t="s">
        <v>203</v>
      </c>
      <c r="BU44" s="5" t="s">
        <v>1018</v>
      </c>
      <c r="BV44" s="5">
        <f>COUNTIF(BN44:BT44, "yes")</f>
        <v>1</v>
      </c>
      <c r="BW44" s="5" t="s">
        <v>203</v>
      </c>
      <c r="BX44" s="5" t="s">
        <v>203</v>
      </c>
      <c r="BY44" s="5" t="s">
        <v>203</v>
      </c>
      <c r="BZ44" s="5" t="s">
        <v>204</v>
      </c>
      <c r="CA44" s="5">
        <f>COUNTIF(BW44:BY44, "yes")</f>
        <v>0</v>
      </c>
      <c r="CB44" s="5" t="s">
        <v>208</v>
      </c>
      <c r="CC44" s="5" t="s">
        <v>208</v>
      </c>
      <c r="CD44" s="5" t="s">
        <v>208</v>
      </c>
      <c r="CE44" s="5" t="s">
        <v>203</v>
      </c>
      <c r="CF44" s="5" t="s">
        <v>203</v>
      </c>
      <c r="CG44" s="5" t="s">
        <v>210</v>
      </c>
      <c r="CH44" s="5" t="s">
        <v>203</v>
      </c>
      <c r="CI44" s="5" t="s">
        <v>203</v>
      </c>
      <c r="CJ44" s="5" t="s">
        <v>204</v>
      </c>
      <c r="CK44" s="5">
        <f>COUNTIF(CB44:CI44, "yes")</f>
        <v>3</v>
      </c>
      <c r="CL44" s="5" t="s">
        <v>216</v>
      </c>
      <c r="CM44" s="5">
        <v>0</v>
      </c>
      <c r="CN44" s="5" t="s">
        <v>217</v>
      </c>
      <c r="CO44" s="5">
        <v>1</v>
      </c>
      <c r="CP44" s="5" t="s">
        <v>217</v>
      </c>
      <c r="CQ44" s="5">
        <v>1</v>
      </c>
      <c r="CR44" s="5" t="s">
        <v>217</v>
      </c>
      <c r="CS44" s="5">
        <v>1</v>
      </c>
      <c r="CT44" s="5" t="s">
        <v>251</v>
      </c>
      <c r="CU44" s="5">
        <v>0</v>
      </c>
      <c r="CV44" s="5" t="s">
        <v>251</v>
      </c>
      <c r="CW44" s="5">
        <v>0</v>
      </c>
      <c r="CX44" s="5" t="s">
        <v>217</v>
      </c>
      <c r="CY44" s="5">
        <v>1</v>
      </c>
      <c r="CZ44" s="5" t="s">
        <v>217</v>
      </c>
      <c r="DA44" s="5">
        <v>12</v>
      </c>
      <c r="DB44" s="5" t="s">
        <v>252</v>
      </c>
      <c r="DC44" s="5">
        <v>0</v>
      </c>
      <c r="DD44" s="5" t="s">
        <v>252</v>
      </c>
      <c r="DE44" s="5">
        <v>0</v>
      </c>
      <c r="DF44" s="5" t="s">
        <v>1019</v>
      </c>
      <c r="DG44" s="5" t="s">
        <v>203</v>
      </c>
      <c r="DH44" s="5" t="s">
        <v>208</v>
      </c>
      <c r="DI44" s="5" t="s">
        <v>254</v>
      </c>
      <c r="DJ44" s="5" t="s">
        <v>254</v>
      </c>
      <c r="DK44" s="5" t="s">
        <v>254</v>
      </c>
      <c r="DL44" s="5" t="s">
        <v>254</v>
      </c>
      <c r="DM44" s="5" t="s">
        <v>203</v>
      </c>
      <c r="DN44" s="5" t="s">
        <v>204</v>
      </c>
      <c r="DO44" s="5" t="s">
        <v>210</v>
      </c>
      <c r="DP44" s="5" t="s">
        <v>219</v>
      </c>
      <c r="DQ44" s="5" t="s">
        <v>204</v>
      </c>
      <c r="DR44" s="5" t="s">
        <v>203</v>
      </c>
      <c r="DS44" s="5" t="s">
        <v>204</v>
      </c>
      <c r="DT44" s="5" t="s">
        <v>210</v>
      </c>
      <c r="DU44" s="5" t="s">
        <v>219</v>
      </c>
      <c r="DV44" s="5" t="s">
        <v>204</v>
      </c>
      <c r="DW44" s="5" t="s">
        <v>200</v>
      </c>
      <c r="DX44" s="5" t="s">
        <v>1020</v>
      </c>
      <c r="DY44" s="5" t="s">
        <v>210</v>
      </c>
      <c r="DZ44" s="5" t="s">
        <v>221</v>
      </c>
      <c r="EA44" s="5" t="s">
        <v>1021</v>
      </c>
      <c r="EB44" s="5" t="s">
        <v>210</v>
      </c>
      <c r="EC44" s="5" t="s">
        <v>204</v>
      </c>
      <c r="ED44" s="5" t="s">
        <v>210</v>
      </c>
      <c r="EE44" s="5" t="s">
        <v>219</v>
      </c>
      <c r="EF44" s="5" t="s">
        <v>204</v>
      </c>
      <c r="EG44" s="5" t="s">
        <v>208</v>
      </c>
      <c r="EH44" s="5" t="s">
        <v>1022</v>
      </c>
      <c r="EI44" s="5" t="s">
        <v>210</v>
      </c>
      <c r="EJ44" s="5" t="s">
        <v>221</v>
      </c>
      <c r="EK44" s="5" t="s">
        <v>1023</v>
      </c>
      <c r="EL44" s="5" t="s">
        <v>208</v>
      </c>
      <c r="EM44" s="5" t="s">
        <v>1024</v>
      </c>
      <c r="EN44" s="5" t="s">
        <v>210</v>
      </c>
      <c r="EO44" s="5" t="s">
        <v>221</v>
      </c>
      <c r="EP44" s="5" t="s">
        <v>1025</v>
      </c>
      <c r="EQ44" s="5" t="s">
        <v>208</v>
      </c>
      <c r="ER44" s="5" t="s">
        <v>1026</v>
      </c>
      <c r="ES44" s="79" t="s">
        <v>1027</v>
      </c>
      <c r="ET44" s="20" t="s">
        <v>292</v>
      </c>
      <c r="EU44" s="5" t="s">
        <v>1028</v>
      </c>
      <c r="EV44" s="80" t="s">
        <v>371</v>
      </c>
      <c r="EW44" s="80" t="s">
        <v>371</v>
      </c>
      <c r="EX44" s="80" t="s">
        <v>371</v>
      </c>
      <c r="EY44" s="5" t="s">
        <v>227</v>
      </c>
      <c r="EZ44" s="5" t="s">
        <v>420</v>
      </c>
      <c r="FA44" s="5" t="s">
        <v>208</v>
      </c>
      <c r="FB44" s="5" t="s">
        <v>1029</v>
      </c>
      <c r="FC44" s="5" t="s">
        <v>208</v>
      </c>
      <c r="FD44" s="5" t="s">
        <v>315</v>
      </c>
      <c r="FE44" s="5">
        <f>AMSTAR!BG40</f>
        <v>13</v>
      </c>
      <c r="FF44" s="5">
        <f>AMSTAR!BF40</f>
        <v>3.5</v>
      </c>
      <c r="FG44" s="34">
        <f t="shared" si="1"/>
        <v>0.26923076923076922</v>
      </c>
    </row>
    <row r="45" spans="1:163">
      <c r="A45" s="5"/>
      <c r="B45" s="48" t="s">
        <v>193</v>
      </c>
      <c r="C45" s="93" t="s">
        <v>1030</v>
      </c>
      <c r="D45" s="93">
        <v>2018</v>
      </c>
      <c r="E45" s="93" t="s">
        <v>1031</v>
      </c>
      <c r="F45" s="93" t="s">
        <v>196</v>
      </c>
      <c r="G45" s="80" t="s">
        <v>1032</v>
      </c>
      <c r="H45" s="5" t="s">
        <v>1033</v>
      </c>
      <c r="I45" s="5">
        <v>5</v>
      </c>
      <c r="J45" s="5" t="s">
        <v>1034</v>
      </c>
      <c r="K45" s="5" t="s">
        <v>200</v>
      </c>
      <c r="L45" s="5" t="s">
        <v>201</v>
      </c>
      <c r="M45" s="91">
        <v>42522</v>
      </c>
      <c r="N45" s="5">
        <v>2000</v>
      </c>
      <c r="O45" s="5">
        <v>2016</v>
      </c>
      <c r="P45" s="5" t="s">
        <v>208</v>
      </c>
      <c r="Q45" s="5" t="s">
        <v>1035</v>
      </c>
      <c r="R45" s="5" t="s">
        <v>1036</v>
      </c>
      <c r="S45" s="5" t="s">
        <v>204</v>
      </c>
      <c r="T45" s="5" t="s">
        <v>207</v>
      </c>
      <c r="U45" s="5" t="s">
        <v>204</v>
      </c>
      <c r="V45" s="5" t="s">
        <v>208</v>
      </c>
      <c r="W45" s="5" t="s">
        <v>208</v>
      </c>
      <c r="X45" s="5">
        <v>6</v>
      </c>
      <c r="Y45" s="5">
        <v>6</v>
      </c>
      <c r="Z45" s="5">
        <v>1</v>
      </c>
      <c r="AA45" s="5" t="s">
        <v>1037</v>
      </c>
      <c r="AB45" s="5">
        <v>58</v>
      </c>
      <c r="AC45" s="5">
        <v>42</v>
      </c>
      <c r="AD45" s="5">
        <v>16</v>
      </c>
      <c r="AE45" s="5" t="s">
        <v>209</v>
      </c>
      <c r="AF45" s="5" t="s">
        <v>209</v>
      </c>
      <c r="AG45" s="5">
        <v>55.6</v>
      </c>
      <c r="AH45" s="5" t="s">
        <v>204</v>
      </c>
      <c r="AI45" s="5">
        <f t="shared" si="3"/>
        <v>1</v>
      </c>
      <c r="AJ45" s="5" t="s">
        <v>203</v>
      </c>
      <c r="AK45" s="5" t="s">
        <v>204</v>
      </c>
      <c r="AL45" s="5" t="s">
        <v>208</v>
      </c>
      <c r="AM45" s="5" t="s">
        <v>1038</v>
      </c>
      <c r="AN45" s="5" t="s">
        <v>210</v>
      </c>
      <c r="AO45" s="5" t="s">
        <v>204</v>
      </c>
      <c r="AP45" s="5" t="s">
        <v>210</v>
      </c>
      <c r="AQ45" s="5" t="s">
        <v>210</v>
      </c>
      <c r="AR45" s="5" t="s">
        <v>210</v>
      </c>
      <c r="AS45" s="5" t="s">
        <v>210</v>
      </c>
      <c r="AT45" s="5" t="s">
        <v>210</v>
      </c>
      <c r="AU45" s="5">
        <v>1</v>
      </c>
      <c r="AV45" s="5">
        <v>0</v>
      </c>
      <c r="AW45" s="5" t="s">
        <v>204</v>
      </c>
      <c r="AX45" s="5">
        <v>0</v>
      </c>
      <c r="AY45" s="5" t="s">
        <v>204</v>
      </c>
      <c r="AZ45" s="5">
        <v>0</v>
      </c>
      <c r="BA45" s="5" t="s">
        <v>204</v>
      </c>
      <c r="BB45" s="5">
        <v>0</v>
      </c>
      <c r="BC45" s="5" t="s">
        <v>204</v>
      </c>
      <c r="BD45" s="5">
        <v>0</v>
      </c>
      <c r="BE45" s="5" t="s">
        <v>204</v>
      </c>
      <c r="BF45" s="5">
        <v>0</v>
      </c>
      <c r="BG45" s="5" t="s">
        <v>204</v>
      </c>
      <c r="BH45" s="5">
        <v>0</v>
      </c>
      <c r="BI45" s="5" t="s">
        <v>204</v>
      </c>
      <c r="BJ45" s="5">
        <v>0</v>
      </c>
      <c r="BK45" s="5" t="s">
        <v>204</v>
      </c>
      <c r="BL45" s="5" t="s">
        <v>214</v>
      </c>
      <c r="BM45" s="5" t="s">
        <v>1039</v>
      </c>
      <c r="BN45" s="5" t="s">
        <v>203</v>
      </c>
      <c r="BO45" s="5" t="s">
        <v>203</v>
      </c>
      <c r="BP45" s="5" t="s">
        <v>203</v>
      </c>
      <c r="BQ45" s="5" t="s">
        <v>203</v>
      </c>
      <c r="BR45" s="5" t="s">
        <v>203</v>
      </c>
      <c r="BS45" s="5" t="s">
        <v>203</v>
      </c>
      <c r="BT45" s="5" t="s">
        <v>203</v>
      </c>
      <c r="BU45" s="5" t="s">
        <v>204</v>
      </c>
      <c r="BV45" s="5">
        <f>COUNTIF(BN45:BT45, "yes")</f>
        <v>0</v>
      </c>
      <c r="BW45" s="5" t="s">
        <v>203</v>
      </c>
      <c r="BX45" s="5" t="s">
        <v>203</v>
      </c>
      <c r="BY45" s="5" t="s">
        <v>203</v>
      </c>
      <c r="BZ45" s="5" t="s">
        <v>204</v>
      </c>
      <c r="CA45" s="5">
        <f>COUNTIF(BW45:BY45, "yes")</f>
        <v>0</v>
      </c>
      <c r="CB45" s="5" t="s">
        <v>203</v>
      </c>
      <c r="CC45" s="5" t="s">
        <v>208</v>
      </c>
      <c r="CD45" s="5" t="s">
        <v>203</v>
      </c>
      <c r="CE45" s="5" t="s">
        <v>203</v>
      </c>
      <c r="CF45" s="5" t="s">
        <v>203</v>
      </c>
      <c r="CG45" s="5" t="s">
        <v>203</v>
      </c>
      <c r="CH45" s="5" t="s">
        <v>203</v>
      </c>
      <c r="CI45" s="5" t="s">
        <v>203</v>
      </c>
      <c r="CJ45" s="5" t="s">
        <v>204</v>
      </c>
      <c r="CK45" s="5">
        <f>COUNTIF(CB45:CI45, "yes")</f>
        <v>1</v>
      </c>
      <c r="CL45" s="5" t="s">
        <v>216</v>
      </c>
      <c r="CM45" s="5">
        <v>0</v>
      </c>
      <c r="CN45" s="5" t="s">
        <v>251</v>
      </c>
      <c r="CO45" s="5">
        <v>0</v>
      </c>
      <c r="CP45" s="5" t="s">
        <v>217</v>
      </c>
      <c r="CQ45" s="5">
        <v>1</v>
      </c>
      <c r="CR45" s="5" t="s">
        <v>251</v>
      </c>
      <c r="CS45" s="5">
        <v>0</v>
      </c>
      <c r="CT45" s="5" t="s">
        <v>251</v>
      </c>
      <c r="CU45" s="5">
        <v>0</v>
      </c>
      <c r="CV45" s="5" t="s">
        <v>251</v>
      </c>
      <c r="CW45" s="5">
        <v>0</v>
      </c>
      <c r="CX45" s="5" t="s">
        <v>251</v>
      </c>
      <c r="CY45" s="5">
        <v>0</v>
      </c>
      <c r="CZ45" s="5" t="s">
        <v>251</v>
      </c>
      <c r="DA45" s="5">
        <v>0</v>
      </c>
      <c r="DB45" s="5" t="s">
        <v>251</v>
      </c>
      <c r="DC45" s="5">
        <v>0</v>
      </c>
      <c r="DD45" s="5" t="s">
        <v>252</v>
      </c>
      <c r="DE45" s="5" t="s">
        <v>204</v>
      </c>
      <c r="DF45" s="5" t="s">
        <v>1040</v>
      </c>
      <c r="DG45" s="5" t="s">
        <v>203</v>
      </c>
      <c r="DH45" s="5" t="s">
        <v>210</v>
      </c>
      <c r="DI45" s="5" t="s">
        <v>203</v>
      </c>
      <c r="DJ45" s="5" t="s">
        <v>208</v>
      </c>
      <c r="DK45" s="5" t="s">
        <v>203</v>
      </c>
      <c r="DL45" s="5" t="s">
        <v>203</v>
      </c>
      <c r="DM45" s="5" t="s">
        <v>203</v>
      </c>
      <c r="DN45" s="5" t="s">
        <v>204</v>
      </c>
      <c r="DO45" s="5" t="s">
        <v>210</v>
      </c>
      <c r="DP45" s="5" t="s">
        <v>219</v>
      </c>
      <c r="DQ45" s="5" t="s">
        <v>204</v>
      </c>
      <c r="DR45" s="5" t="s">
        <v>203</v>
      </c>
      <c r="DS45" s="5" t="s">
        <v>204</v>
      </c>
      <c r="DT45" s="5" t="s">
        <v>210</v>
      </c>
      <c r="DU45" s="5" t="s">
        <v>219</v>
      </c>
      <c r="DV45" s="5" t="s">
        <v>204</v>
      </c>
      <c r="DW45" s="5" t="s">
        <v>208</v>
      </c>
      <c r="DX45" s="5" t="s">
        <v>1041</v>
      </c>
      <c r="DY45" s="5" t="s">
        <v>210</v>
      </c>
      <c r="DZ45" s="5" t="s">
        <v>334</v>
      </c>
      <c r="EA45" s="5" t="s">
        <v>1042</v>
      </c>
      <c r="EB45" s="5" t="s">
        <v>203</v>
      </c>
      <c r="EC45" s="5" t="s">
        <v>204</v>
      </c>
      <c r="ED45" s="5" t="s">
        <v>210</v>
      </c>
      <c r="EE45" s="5" t="s">
        <v>219</v>
      </c>
      <c r="EF45" s="5" t="s">
        <v>204</v>
      </c>
      <c r="EG45" s="5" t="s">
        <v>203</v>
      </c>
      <c r="EH45" s="5" t="s">
        <v>204</v>
      </c>
      <c r="EI45" s="5" t="s">
        <v>210</v>
      </c>
      <c r="EJ45" s="5" t="s">
        <v>219</v>
      </c>
      <c r="EK45" s="5" t="s">
        <v>204</v>
      </c>
      <c r="EL45" s="5" t="s">
        <v>203</v>
      </c>
      <c r="EM45" s="5" t="s">
        <v>204</v>
      </c>
      <c r="EN45" s="5" t="s">
        <v>210</v>
      </c>
      <c r="EO45" s="5" t="s">
        <v>219</v>
      </c>
      <c r="EP45" s="5" t="s">
        <v>204</v>
      </c>
      <c r="EQ45" s="5" t="s">
        <v>208</v>
      </c>
      <c r="ER45" s="5" t="s">
        <v>1043</v>
      </c>
      <c r="ES45" s="79" t="s">
        <v>825</v>
      </c>
      <c r="ET45" s="20" t="s">
        <v>292</v>
      </c>
      <c r="EU45" s="5" t="s">
        <v>1044</v>
      </c>
      <c r="EV45" s="80" t="s">
        <v>371</v>
      </c>
      <c r="EW45" s="5" t="s">
        <v>371</v>
      </c>
      <c r="EX45" s="5" t="s">
        <v>371</v>
      </c>
      <c r="EY45" s="5" t="s">
        <v>227</v>
      </c>
      <c r="EZ45" s="5" t="s">
        <v>420</v>
      </c>
      <c r="FA45" s="5" t="s">
        <v>203</v>
      </c>
      <c r="FB45" s="5" t="s">
        <v>204</v>
      </c>
      <c r="FC45" s="5" t="s">
        <v>208</v>
      </c>
      <c r="FD45" s="5" t="s">
        <v>315</v>
      </c>
      <c r="FE45" s="5">
        <f>AMSTAR!BG41</f>
        <v>12</v>
      </c>
      <c r="FF45" s="5">
        <f>AMSTAR!BF41</f>
        <v>5.5</v>
      </c>
      <c r="FG45" s="34">
        <f t="shared" si="1"/>
        <v>0.45833333333333331</v>
      </c>
    </row>
    <row r="46" spans="1:163">
      <c r="A46" s="5"/>
      <c r="B46" s="48" t="s">
        <v>193</v>
      </c>
      <c r="C46" s="93" t="s">
        <v>1045</v>
      </c>
      <c r="D46" s="93">
        <v>2019</v>
      </c>
      <c r="E46" s="93" t="s">
        <v>1046</v>
      </c>
      <c r="F46" s="93" t="s">
        <v>196</v>
      </c>
      <c r="G46" s="80" t="s">
        <v>1047</v>
      </c>
      <c r="H46" s="5" t="s">
        <v>198</v>
      </c>
      <c r="I46" s="5">
        <v>5</v>
      </c>
      <c r="J46" s="5" t="s">
        <v>1048</v>
      </c>
      <c r="K46" s="5" t="s">
        <v>200</v>
      </c>
      <c r="L46" s="5" t="s">
        <v>236</v>
      </c>
      <c r="M46" s="5" t="s">
        <v>1049</v>
      </c>
      <c r="N46" s="5">
        <v>1990</v>
      </c>
      <c r="O46" s="5">
        <v>2018</v>
      </c>
      <c r="P46" s="5" t="s">
        <v>203</v>
      </c>
      <c r="Q46" s="5" t="s">
        <v>204</v>
      </c>
      <c r="R46" s="5" t="s">
        <v>1050</v>
      </c>
      <c r="S46" s="5" t="s">
        <v>1051</v>
      </c>
      <c r="T46" s="5" t="s">
        <v>207</v>
      </c>
      <c r="U46" s="5" t="s">
        <v>204</v>
      </c>
      <c r="V46" s="5" t="s">
        <v>200</v>
      </c>
      <c r="W46" s="5" t="s">
        <v>210</v>
      </c>
      <c r="X46" s="5">
        <v>12</v>
      </c>
      <c r="Y46" s="5">
        <v>12</v>
      </c>
      <c r="Z46" s="5">
        <v>12</v>
      </c>
      <c r="AA46" s="5" t="s">
        <v>204</v>
      </c>
      <c r="AB46" s="5">
        <v>1142</v>
      </c>
      <c r="AC46" s="5">
        <v>856</v>
      </c>
      <c r="AD46" s="5">
        <v>286</v>
      </c>
      <c r="AE46" s="5" t="s">
        <v>209</v>
      </c>
      <c r="AF46" s="5" t="s">
        <v>209</v>
      </c>
      <c r="AG46" s="5" t="s">
        <v>1052</v>
      </c>
      <c r="AH46" t="s">
        <v>204</v>
      </c>
      <c r="AI46" s="5">
        <f t="shared" si="3"/>
        <v>1</v>
      </c>
      <c r="AJ46" s="5" t="s">
        <v>203</v>
      </c>
      <c r="AK46" s="5" t="s">
        <v>204</v>
      </c>
      <c r="AL46" s="5" t="s">
        <v>203</v>
      </c>
      <c r="AM46" s="5" t="s">
        <v>204</v>
      </c>
      <c r="AN46" s="5" t="s">
        <v>208</v>
      </c>
      <c r="AO46" s="5" t="s">
        <v>1053</v>
      </c>
      <c r="AP46" s="5" t="s">
        <v>208</v>
      </c>
      <c r="AQ46" s="5" t="s">
        <v>203</v>
      </c>
      <c r="AR46" s="5" t="s">
        <v>203</v>
      </c>
      <c r="AS46" s="5" t="s">
        <v>203</v>
      </c>
      <c r="AT46" s="5" t="s">
        <v>203</v>
      </c>
      <c r="AU46" s="5">
        <v>2</v>
      </c>
      <c r="AV46" s="5">
        <v>1</v>
      </c>
      <c r="AW46" s="5" t="s">
        <v>1054</v>
      </c>
      <c r="AX46" s="5">
        <v>4</v>
      </c>
      <c r="AY46" s="5" t="s">
        <v>1055</v>
      </c>
      <c r="AZ46" s="5">
        <v>0</v>
      </c>
      <c r="BA46" s="5" t="s">
        <v>204</v>
      </c>
      <c r="BB46" s="5">
        <v>3</v>
      </c>
      <c r="BC46" s="5" t="s">
        <v>938</v>
      </c>
      <c r="BD46" s="5">
        <v>1</v>
      </c>
      <c r="BE46" s="5" t="s">
        <v>1056</v>
      </c>
      <c r="BF46" s="5">
        <v>0</v>
      </c>
      <c r="BG46" s="5" t="s">
        <v>204</v>
      </c>
      <c r="BH46" s="5">
        <v>1</v>
      </c>
      <c r="BI46" s="5" t="s">
        <v>1057</v>
      </c>
      <c r="BJ46" s="5">
        <v>0</v>
      </c>
      <c r="BK46" s="5" t="s">
        <v>204</v>
      </c>
      <c r="BL46" s="5" t="s">
        <v>214</v>
      </c>
      <c r="BM46" s="5" t="s">
        <v>1058</v>
      </c>
      <c r="BN46" s="5" t="s">
        <v>200</v>
      </c>
      <c r="BO46" s="5" t="s">
        <v>200</v>
      </c>
      <c r="BP46" s="5" t="s">
        <v>210</v>
      </c>
      <c r="BQ46" s="5" t="s">
        <v>200</v>
      </c>
      <c r="BR46" s="5" t="s">
        <v>210</v>
      </c>
      <c r="BS46" s="5" t="s">
        <v>210</v>
      </c>
      <c r="BT46" s="5" t="s">
        <v>210</v>
      </c>
      <c r="BU46" s="5" t="s">
        <v>204</v>
      </c>
      <c r="BV46" s="5">
        <f>COUNTIF(BN46:BT46, "yes")</f>
        <v>3</v>
      </c>
      <c r="BW46" s="5" t="s">
        <v>203</v>
      </c>
      <c r="BX46" s="5" t="s">
        <v>203</v>
      </c>
      <c r="BY46" s="5" t="s">
        <v>203</v>
      </c>
      <c r="BZ46" s="5" t="s">
        <v>204</v>
      </c>
      <c r="CA46" s="5">
        <f>COUNTIF(BW46:BY46, "yes")</f>
        <v>0</v>
      </c>
      <c r="CB46" s="5" t="s">
        <v>210</v>
      </c>
      <c r="CC46" s="5" t="s">
        <v>203</v>
      </c>
      <c r="CD46" s="5" t="s">
        <v>203</v>
      </c>
      <c r="CE46" s="5" t="s">
        <v>203</v>
      </c>
      <c r="CF46" s="5" t="s">
        <v>203</v>
      </c>
      <c r="CG46" s="5" t="s">
        <v>210</v>
      </c>
      <c r="CH46" s="5" t="s">
        <v>203</v>
      </c>
      <c r="CI46" s="5" t="s">
        <v>208</v>
      </c>
      <c r="CJ46" s="5" t="s">
        <v>1059</v>
      </c>
      <c r="CK46" s="5">
        <f>COUNTIF(CB46:CI46, "yes")</f>
        <v>1</v>
      </c>
      <c r="CL46" s="5" t="s">
        <v>216</v>
      </c>
      <c r="CM46" s="5">
        <v>0</v>
      </c>
      <c r="CN46" s="5" t="s">
        <v>217</v>
      </c>
      <c r="CO46" s="5">
        <v>12</v>
      </c>
      <c r="CP46" s="5" t="s">
        <v>216</v>
      </c>
      <c r="CQ46" s="5">
        <v>0</v>
      </c>
      <c r="CR46" s="5" t="s">
        <v>216</v>
      </c>
      <c r="CS46" s="5">
        <v>0</v>
      </c>
      <c r="CT46" s="5" t="s">
        <v>216</v>
      </c>
      <c r="CU46" s="5">
        <v>0</v>
      </c>
      <c r="CV46" s="5" t="s">
        <v>216</v>
      </c>
      <c r="CW46" s="5">
        <v>0</v>
      </c>
      <c r="CX46" s="5" t="s">
        <v>216</v>
      </c>
      <c r="CY46" s="5">
        <v>0</v>
      </c>
      <c r="CZ46" s="5" t="s">
        <v>216</v>
      </c>
      <c r="DA46" s="5">
        <v>0</v>
      </c>
      <c r="DB46" s="5" t="s">
        <v>216</v>
      </c>
      <c r="DC46" s="5">
        <v>0</v>
      </c>
      <c r="DD46" s="5" t="s">
        <v>216</v>
      </c>
      <c r="DE46" s="5">
        <v>0</v>
      </c>
      <c r="DF46" s="5" t="s">
        <v>1060</v>
      </c>
      <c r="DG46" s="5" t="s">
        <v>203</v>
      </c>
      <c r="DH46" s="5" t="s">
        <v>203</v>
      </c>
      <c r="DI46" s="5" t="s">
        <v>208</v>
      </c>
      <c r="DJ46" s="5" t="s">
        <v>208</v>
      </c>
      <c r="DK46" s="5" t="s">
        <v>203</v>
      </c>
      <c r="DL46" s="5" t="s">
        <v>208</v>
      </c>
      <c r="DM46" s="5" t="s">
        <v>254</v>
      </c>
      <c r="DN46" s="5" t="s">
        <v>1061</v>
      </c>
      <c r="DO46" s="5" t="s">
        <v>210</v>
      </c>
      <c r="DP46" s="5" t="s">
        <v>219</v>
      </c>
      <c r="DQ46" s="5" t="s">
        <v>204</v>
      </c>
      <c r="DR46" s="5" t="s">
        <v>203</v>
      </c>
      <c r="DS46" s="5" t="s">
        <v>210</v>
      </c>
      <c r="DT46" s="5" t="s">
        <v>219</v>
      </c>
      <c r="DU46" s="5" t="s">
        <v>204</v>
      </c>
      <c r="DV46" s="5" t="s">
        <v>204</v>
      </c>
      <c r="DW46" s="5" t="s">
        <v>208</v>
      </c>
      <c r="DX46" s="5" t="s">
        <v>1062</v>
      </c>
      <c r="DY46" s="5" t="s">
        <v>210</v>
      </c>
      <c r="DZ46" s="5" t="s">
        <v>221</v>
      </c>
      <c r="EA46" s="5" t="s">
        <v>1063</v>
      </c>
      <c r="EB46" s="5" t="s">
        <v>208</v>
      </c>
      <c r="EC46" s="5" t="s">
        <v>1064</v>
      </c>
      <c r="ED46" s="5" t="s">
        <v>210</v>
      </c>
      <c r="EE46" s="5" t="s">
        <v>285</v>
      </c>
      <c r="EF46" s="5" t="s">
        <v>1065</v>
      </c>
      <c r="EG46" s="5" t="s">
        <v>203</v>
      </c>
      <c r="EH46" s="5" t="s">
        <v>204</v>
      </c>
      <c r="EI46" s="5" t="s">
        <v>210</v>
      </c>
      <c r="EJ46" s="5" t="s">
        <v>219</v>
      </c>
      <c r="EK46" s="5" t="s">
        <v>204</v>
      </c>
      <c r="EL46" s="5" t="s">
        <v>203</v>
      </c>
      <c r="EM46" s="5" t="s">
        <v>204</v>
      </c>
      <c r="EN46" s="5" t="s">
        <v>210</v>
      </c>
      <c r="EO46" s="5" t="s">
        <v>219</v>
      </c>
      <c r="EP46" s="5" t="s">
        <v>204</v>
      </c>
      <c r="EQ46" s="5" t="s">
        <v>208</v>
      </c>
      <c r="ER46" s="5" t="s">
        <v>1066</v>
      </c>
      <c r="ES46" s="79" t="s">
        <v>657</v>
      </c>
      <c r="ET46" s="20" t="s">
        <v>529</v>
      </c>
      <c r="EU46" s="5" t="s">
        <v>1067</v>
      </c>
      <c r="EV46" s="80" t="s">
        <v>371</v>
      </c>
      <c r="EW46" s="80" t="s">
        <v>371</v>
      </c>
      <c r="EX46" s="80" t="s">
        <v>371</v>
      </c>
      <c r="EY46" s="5" t="s">
        <v>227</v>
      </c>
      <c r="EZ46" s="5" t="s">
        <v>420</v>
      </c>
      <c r="FA46" s="5" t="s">
        <v>203</v>
      </c>
      <c r="FB46" s="5" t="s">
        <v>204</v>
      </c>
      <c r="FC46" s="5" t="s">
        <v>203</v>
      </c>
      <c r="FD46" s="5" t="s">
        <v>204</v>
      </c>
      <c r="FE46" s="5">
        <f>AMSTAR!BG42</f>
        <v>13</v>
      </c>
      <c r="FF46" s="5">
        <f>AMSTAR!BF42</f>
        <v>5.5</v>
      </c>
      <c r="FG46" s="34">
        <f t="shared" si="1"/>
        <v>0.42307692307692307</v>
      </c>
    </row>
    <row r="47" spans="1:163">
      <c r="A47" s="5"/>
      <c r="B47" s="48" t="s">
        <v>193</v>
      </c>
      <c r="C47" s="93" t="s">
        <v>1068</v>
      </c>
      <c r="D47" s="93">
        <v>2020</v>
      </c>
      <c r="E47" s="93" t="s">
        <v>1069</v>
      </c>
      <c r="F47" s="93" t="s">
        <v>341</v>
      </c>
      <c r="G47" s="80" t="s">
        <v>1070</v>
      </c>
      <c r="H47" s="5" t="s">
        <v>198</v>
      </c>
      <c r="I47" s="5">
        <v>9</v>
      </c>
      <c r="J47" s="5" t="s">
        <v>1071</v>
      </c>
      <c r="K47" s="5" t="s">
        <v>208</v>
      </c>
      <c r="L47" s="5" t="s">
        <v>201</v>
      </c>
      <c r="M47" s="91">
        <v>43040</v>
      </c>
      <c r="N47" s="5" t="s">
        <v>209</v>
      </c>
      <c r="O47" s="5">
        <v>2017</v>
      </c>
      <c r="P47" s="5" t="s">
        <v>208</v>
      </c>
      <c r="Q47" s="5" t="s">
        <v>1072</v>
      </c>
      <c r="R47" s="5" t="s">
        <v>1073</v>
      </c>
      <c r="S47" s="5" t="s">
        <v>204</v>
      </c>
      <c r="T47" s="5" t="s">
        <v>207</v>
      </c>
      <c r="U47" s="5" t="s">
        <v>204</v>
      </c>
      <c r="V47" s="5" t="s">
        <v>208</v>
      </c>
      <c r="W47" s="5" t="s">
        <v>208</v>
      </c>
      <c r="X47" s="5">
        <v>16</v>
      </c>
      <c r="Y47" s="5">
        <v>16</v>
      </c>
      <c r="Z47" s="5">
        <v>16</v>
      </c>
      <c r="AA47" s="5" t="s">
        <v>204</v>
      </c>
      <c r="AB47" s="5">
        <v>198</v>
      </c>
      <c r="AC47" s="5">
        <v>111</v>
      </c>
      <c r="AD47" s="5">
        <v>87</v>
      </c>
      <c r="AE47" s="5" t="s">
        <v>209</v>
      </c>
      <c r="AF47" s="5" t="s">
        <v>209</v>
      </c>
      <c r="AG47" s="5" t="s">
        <v>209</v>
      </c>
      <c r="AH47" s="5" t="s">
        <v>1074</v>
      </c>
      <c r="AI47" s="5">
        <f t="shared" si="3"/>
        <v>1</v>
      </c>
      <c r="AJ47" s="5" t="s">
        <v>203</v>
      </c>
      <c r="AK47" s="5" t="s">
        <v>204</v>
      </c>
      <c r="AL47" s="5" t="s">
        <v>203</v>
      </c>
      <c r="AM47" s="5" t="s">
        <v>204</v>
      </c>
      <c r="AN47" s="5" t="s">
        <v>208</v>
      </c>
      <c r="AO47" s="5" t="s">
        <v>1075</v>
      </c>
      <c r="AP47" s="5" t="s">
        <v>208</v>
      </c>
      <c r="AQ47" s="5" t="s">
        <v>208</v>
      </c>
      <c r="AR47" s="5" t="s">
        <v>203</v>
      </c>
      <c r="AS47" s="5" t="s">
        <v>200</v>
      </c>
      <c r="AT47" s="5" t="s">
        <v>203</v>
      </c>
      <c r="AU47" s="5">
        <v>0</v>
      </c>
      <c r="AV47" s="5">
        <v>9</v>
      </c>
      <c r="AW47" s="32" t="s">
        <v>1076</v>
      </c>
      <c r="AX47" s="5">
        <v>10</v>
      </c>
      <c r="AY47" s="5" t="s">
        <v>1077</v>
      </c>
      <c r="AZ47" s="5">
        <v>0</v>
      </c>
      <c r="BA47" s="5" t="s">
        <v>204</v>
      </c>
      <c r="BB47" s="5">
        <v>14</v>
      </c>
      <c r="BC47" s="5" t="s">
        <v>1078</v>
      </c>
      <c r="BD47" s="5">
        <v>0</v>
      </c>
      <c r="BE47" s="5" t="s">
        <v>204</v>
      </c>
      <c r="BF47" s="5">
        <v>0</v>
      </c>
      <c r="BG47" s="5" t="s">
        <v>204</v>
      </c>
      <c r="BH47" s="5">
        <v>0</v>
      </c>
      <c r="BI47" s="5" t="s">
        <v>204</v>
      </c>
      <c r="BJ47" s="5">
        <v>0</v>
      </c>
      <c r="BK47" s="5" t="s">
        <v>204</v>
      </c>
      <c r="BL47" s="5" t="s">
        <v>214</v>
      </c>
      <c r="BM47" s="5" t="s">
        <v>1079</v>
      </c>
      <c r="BN47" s="5" t="s">
        <v>210</v>
      </c>
      <c r="BO47" s="5" t="s">
        <v>203</v>
      </c>
      <c r="BP47" s="5" t="s">
        <v>210</v>
      </c>
      <c r="BQ47" s="5" t="s">
        <v>210</v>
      </c>
      <c r="BR47" s="5" t="s">
        <v>210</v>
      </c>
      <c r="BS47" s="5" t="s">
        <v>210</v>
      </c>
      <c r="BT47" s="5" t="s">
        <v>210</v>
      </c>
      <c r="BU47" s="5" t="s">
        <v>204</v>
      </c>
      <c r="BV47" s="5">
        <f>COUNTIF(BN47:BT47, "yes")</f>
        <v>0</v>
      </c>
      <c r="BW47" s="5" t="s">
        <v>203</v>
      </c>
      <c r="BX47" s="5" t="s">
        <v>203</v>
      </c>
      <c r="BY47" s="5" t="s">
        <v>203</v>
      </c>
      <c r="BZ47" s="5" t="s">
        <v>204</v>
      </c>
      <c r="CA47" s="5">
        <f>COUNTIF(BW47:BY47, "yes")</f>
        <v>0</v>
      </c>
      <c r="CB47" s="5" t="s">
        <v>203</v>
      </c>
      <c r="CC47" s="5" t="s">
        <v>208</v>
      </c>
      <c r="CD47" s="5" t="s">
        <v>208</v>
      </c>
      <c r="CE47" s="5" t="s">
        <v>203</v>
      </c>
      <c r="CF47" s="5" t="s">
        <v>203</v>
      </c>
      <c r="CG47" s="5" t="s">
        <v>203</v>
      </c>
      <c r="CH47" s="5" t="s">
        <v>203</v>
      </c>
      <c r="CI47" s="5" t="s">
        <v>203</v>
      </c>
      <c r="CJ47" s="5" t="s">
        <v>204</v>
      </c>
      <c r="CK47" s="5">
        <f>COUNTIF(CB47:CI47, "yes")</f>
        <v>2</v>
      </c>
      <c r="CL47" s="5" t="s">
        <v>252</v>
      </c>
      <c r="CM47" s="5">
        <v>0</v>
      </c>
      <c r="CN47" s="5" t="s">
        <v>216</v>
      </c>
      <c r="CO47" s="5">
        <v>0</v>
      </c>
      <c r="CP47" s="5" t="s">
        <v>216</v>
      </c>
      <c r="CQ47" s="5">
        <v>0</v>
      </c>
      <c r="CR47" s="5" t="s">
        <v>216</v>
      </c>
      <c r="CS47" s="5">
        <v>0</v>
      </c>
      <c r="CT47" s="5" t="s">
        <v>216</v>
      </c>
      <c r="CU47" s="5">
        <v>0</v>
      </c>
      <c r="CV47" s="5" t="s">
        <v>217</v>
      </c>
      <c r="CW47" s="5">
        <v>1</v>
      </c>
      <c r="CX47" s="5" t="s">
        <v>217</v>
      </c>
      <c r="CY47" s="5">
        <v>14</v>
      </c>
      <c r="CZ47" s="5" t="s">
        <v>217</v>
      </c>
      <c r="DA47" s="5">
        <v>1</v>
      </c>
      <c r="DB47" s="5" t="s">
        <v>252</v>
      </c>
      <c r="DC47" s="5">
        <v>0</v>
      </c>
      <c r="DD47" s="5" t="s">
        <v>252</v>
      </c>
      <c r="DE47" s="5">
        <v>0</v>
      </c>
      <c r="DF47" s="5" t="s">
        <v>302</v>
      </c>
      <c r="DG47" s="5" t="s">
        <v>210</v>
      </c>
      <c r="DH47" s="5" t="s">
        <v>210</v>
      </c>
      <c r="DI47" s="5" t="s">
        <v>210</v>
      </c>
      <c r="DJ47" s="5" t="s">
        <v>210</v>
      </c>
      <c r="DK47" s="5" t="s">
        <v>210</v>
      </c>
      <c r="DL47" s="5" t="s">
        <v>210</v>
      </c>
      <c r="DM47" s="5" t="s">
        <v>210</v>
      </c>
      <c r="DN47" s="5" t="s">
        <v>204</v>
      </c>
      <c r="DO47" s="5" t="s">
        <v>210</v>
      </c>
      <c r="DP47" s="5" t="s">
        <v>219</v>
      </c>
      <c r="DQ47" s="5" t="s">
        <v>204</v>
      </c>
      <c r="DR47" s="5" t="s">
        <v>203</v>
      </c>
      <c r="DS47" s="5" t="s">
        <v>210</v>
      </c>
      <c r="DT47" s="5" t="s">
        <v>219</v>
      </c>
      <c r="DU47" s="5" t="s">
        <v>204</v>
      </c>
      <c r="DV47" s="5" t="s">
        <v>204</v>
      </c>
      <c r="DW47" s="5" t="s">
        <v>208</v>
      </c>
      <c r="DX47" s="5" t="s">
        <v>1080</v>
      </c>
      <c r="DY47" s="5" t="s">
        <v>1081</v>
      </c>
      <c r="DZ47" s="5" t="s">
        <v>219</v>
      </c>
      <c r="EA47" s="5" t="s">
        <v>1082</v>
      </c>
      <c r="EB47" s="5" t="s">
        <v>203</v>
      </c>
      <c r="EC47" s="5" t="s">
        <v>204</v>
      </c>
      <c r="ED47" s="5" t="s">
        <v>210</v>
      </c>
      <c r="EE47" s="5" t="s">
        <v>219</v>
      </c>
      <c r="EF47" s="5" t="s">
        <v>204</v>
      </c>
      <c r="EG47" s="5" t="s">
        <v>203</v>
      </c>
      <c r="EH47" s="5" t="s">
        <v>204</v>
      </c>
      <c r="EI47" s="5" t="s">
        <v>210</v>
      </c>
      <c r="EJ47" s="5" t="s">
        <v>219</v>
      </c>
      <c r="EK47" s="5" t="s">
        <v>204</v>
      </c>
      <c r="EL47" s="5" t="s">
        <v>203</v>
      </c>
      <c r="EM47" s="5" t="s">
        <v>204</v>
      </c>
      <c r="EN47" s="5" t="s">
        <v>210</v>
      </c>
      <c r="EO47" s="5" t="s">
        <v>219</v>
      </c>
      <c r="EP47" s="5" t="s">
        <v>204</v>
      </c>
      <c r="EQ47" s="5" t="s">
        <v>208</v>
      </c>
      <c r="ER47" s="5" t="s">
        <v>1083</v>
      </c>
      <c r="ES47" s="79" t="s">
        <v>1084</v>
      </c>
      <c r="ET47" s="20" t="s">
        <v>529</v>
      </c>
      <c r="EU47" s="5" t="s">
        <v>1085</v>
      </c>
      <c r="EV47" s="80" t="s">
        <v>371</v>
      </c>
      <c r="EW47" s="80" t="s">
        <v>371</v>
      </c>
      <c r="EX47" s="80" t="s">
        <v>371</v>
      </c>
      <c r="EY47" s="5" t="s">
        <v>262</v>
      </c>
      <c r="EZ47" s="5" t="s">
        <v>228</v>
      </c>
      <c r="FA47" s="5" t="s">
        <v>200</v>
      </c>
      <c r="FB47" s="5" t="s">
        <v>1086</v>
      </c>
      <c r="FC47" s="5" t="s">
        <v>208</v>
      </c>
      <c r="FD47" s="5" t="s">
        <v>1087</v>
      </c>
      <c r="FE47" s="5">
        <f>AMSTAR!BG43</f>
        <v>16</v>
      </c>
      <c r="FF47" s="5">
        <f>AMSTAR!BF43</f>
        <v>10.5</v>
      </c>
      <c r="FG47" s="34">
        <f t="shared" si="1"/>
        <v>0.65625</v>
      </c>
    </row>
    <row r="48" spans="1:163">
      <c r="A48" s="5"/>
      <c r="B48" s="30">
        <v>6882</v>
      </c>
      <c r="C48" s="93" t="s">
        <v>1088</v>
      </c>
      <c r="D48" s="93">
        <v>2016</v>
      </c>
      <c r="E48" s="93" t="s">
        <v>1089</v>
      </c>
      <c r="F48" s="93" t="s">
        <v>233</v>
      </c>
      <c r="G48" s="80" t="s">
        <v>1090</v>
      </c>
      <c r="H48" s="5" t="s">
        <v>198</v>
      </c>
      <c r="I48" s="5">
        <v>7</v>
      </c>
      <c r="J48" s="5" t="s">
        <v>1091</v>
      </c>
      <c r="K48" s="5" t="s">
        <v>208</v>
      </c>
      <c r="L48" s="5" t="s">
        <v>201</v>
      </c>
      <c r="M48" s="5" t="s">
        <v>1092</v>
      </c>
      <c r="N48" s="5">
        <v>1990</v>
      </c>
      <c r="O48" s="5">
        <v>2014</v>
      </c>
      <c r="P48" s="5" t="s">
        <v>210</v>
      </c>
      <c r="Q48" s="5" t="s">
        <v>204</v>
      </c>
      <c r="R48" s="5" t="s">
        <v>1093</v>
      </c>
      <c r="S48" s="5" t="s">
        <v>1094</v>
      </c>
      <c r="T48" s="5" t="s">
        <v>241</v>
      </c>
      <c r="U48" s="5" t="s">
        <v>808</v>
      </c>
      <c r="V48" s="5" t="s">
        <v>200</v>
      </c>
      <c r="W48" s="5" t="s">
        <v>254</v>
      </c>
      <c r="X48" s="5">
        <f>SUM(7+5+4)</f>
        <v>16</v>
      </c>
      <c r="Y48" s="5">
        <v>16</v>
      </c>
      <c r="Z48" s="5">
        <v>7</v>
      </c>
      <c r="AA48" s="5" t="s">
        <v>1095</v>
      </c>
      <c r="AB48" s="5">
        <v>180</v>
      </c>
      <c r="AC48" s="5">
        <v>11</v>
      </c>
      <c r="AD48" s="5">
        <v>10</v>
      </c>
      <c r="AE48" s="5">
        <v>16</v>
      </c>
      <c r="AF48" s="5">
        <v>84</v>
      </c>
      <c r="AG48" s="5" t="s">
        <v>209</v>
      </c>
      <c r="AH48" s="5" t="s">
        <v>1096</v>
      </c>
      <c r="AI48" s="5">
        <f t="shared" si="3"/>
        <v>3</v>
      </c>
      <c r="AJ48" s="5" t="s">
        <v>208</v>
      </c>
      <c r="AK48" s="5" t="s">
        <v>1097</v>
      </c>
      <c r="AL48" s="5" t="s">
        <v>208</v>
      </c>
      <c r="AM48" s="5" t="s">
        <v>1098</v>
      </c>
      <c r="AN48" s="5" t="s">
        <v>208</v>
      </c>
      <c r="AO48" s="5" t="s">
        <v>1099</v>
      </c>
      <c r="AP48" s="5" t="s">
        <v>372</v>
      </c>
      <c r="AQ48" s="5" t="s">
        <v>372</v>
      </c>
      <c r="AR48" s="5" t="s">
        <v>372</v>
      </c>
      <c r="AS48" s="5" t="s">
        <v>372</v>
      </c>
      <c r="AT48" s="5" t="s">
        <v>372</v>
      </c>
      <c r="AU48" s="5">
        <v>0</v>
      </c>
      <c r="AV48" s="5">
        <v>2</v>
      </c>
      <c r="AW48" s="5" t="s">
        <v>1100</v>
      </c>
      <c r="AX48" s="5">
        <v>0</v>
      </c>
      <c r="AY48" s="5" t="s">
        <v>204</v>
      </c>
      <c r="AZ48" s="5">
        <v>0</v>
      </c>
      <c r="BA48" s="5" t="s">
        <v>204</v>
      </c>
      <c r="BB48" s="5">
        <v>2</v>
      </c>
      <c r="BC48" s="5" t="s">
        <v>1101</v>
      </c>
      <c r="BD48" s="5">
        <v>0</v>
      </c>
      <c r="BE48" s="5" t="s">
        <v>204</v>
      </c>
      <c r="BF48" s="5">
        <v>1</v>
      </c>
      <c r="BG48" s="5" t="s">
        <v>1102</v>
      </c>
      <c r="BH48" s="5">
        <v>0</v>
      </c>
      <c r="BI48" s="5" t="s">
        <v>204</v>
      </c>
      <c r="BJ48" s="5">
        <v>0</v>
      </c>
      <c r="BK48" s="5" t="s">
        <v>204</v>
      </c>
      <c r="BL48" s="5" t="s">
        <v>214</v>
      </c>
      <c r="BM48" s="5" t="s">
        <v>1103</v>
      </c>
      <c r="BN48" s="5" t="s">
        <v>203</v>
      </c>
      <c r="BO48" s="5" t="s">
        <v>203</v>
      </c>
      <c r="BP48" s="5" t="s">
        <v>200</v>
      </c>
      <c r="BQ48" s="5" t="s">
        <v>203</v>
      </c>
      <c r="BR48" s="5" t="s">
        <v>203</v>
      </c>
      <c r="BS48" s="5" t="s">
        <v>203</v>
      </c>
      <c r="BT48" s="5" t="s">
        <v>203</v>
      </c>
      <c r="BU48" s="5" t="s">
        <v>204</v>
      </c>
      <c r="BV48" s="5">
        <f>COUNTIF(BN48:BT48, "yes")</f>
        <v>1</v>
      </c>
      <c r="BW48" s="5" t="s">
        <v>203</v>
      </c>
      <c r="BX48" s="5" t="s">
        <v>203</v>
      </c>
      <c r="BY48" s="5" t="s">
        <v>203</v>
      </c>
      <c r="BZ48" s="5" t="s">
        <v>204</v>
      </c>
      <c r="CA48" s="5">
        <f>COUNTIF(BW48:BY48, "yes")</f>
        <v>0</v>
      </c>
      <c r="CB48" s="5" t="s">
        <v>208</v>
      </c>
      <c r="CC48" s="5" t="s">
        <v>208</v>
      </c>
      <c r="CD48" s="5" t="s">
        <v>208</v>
      </c>
      <c r="CE48" s="5" t="s">
        <v>203</v>
      </c>
      <c r="CF48" s="5" t="s">
        <v>203</v>
      </c>
      <c r="CG48" s="5" t="s">
        <v>210</v>
      </c>
      <c r="CH48" s="5" t="s">
        <v>203</v>
      </c>
      <c r="CI48" s="5" t="s">
        <v>203</v>
      </c>
      <c r="CJ48" s="5" t="s">
        <v>204</v>
      </c>
      <c r="CK48" s="5">
        <f>COUNTIF(CB48:CI48, "yes")</f>
        <v>3</v>
      </c>
      <c r="CL48" s="5" t="s">
        <v>216</v>
      </c>
      <c r="CM48" s="5">
        <v>0</v>
      </c>
      <c r="CN48" s="5" t="s">
        <v>217</v>
      </c>
      <c r="CO48" s="5">
        <v>1</v>
      </c>
      <c r="CP48" s="5" t="s">
        <v>217</v>
      </c>
      <c r="CQ48" s="5">
        <v>1</v>
      </c>
      <c r="CR48" s="5" t="s">
        <v>217</v>
      </c>
      <c r="CS48" s="5">
        <v>1</v>
      </c>
      <c r="CT48" s="5" t="s">
        <v>217</v>
      </c>
      <c r="CU48" s="5">
        <v>1</v>
      </c>
      <c r="CV48" s="5" t="s">
        <v>251</v>
      </c>
      <c r="CW48" s="5">
        <v>0</v>
      </c>
      <c r="CX48" s="5" t="s">
        <v>217</v>
      </c>
      <c r="CY48" s="5">
        <v>3</v>
      </c>
      <c r="CZ48" s="5" t="s">
        <v>251</v>
      </c>
      <c r="DA48" s="5">
        <v>0</v>
      </c>
      <c r="DB48" s="5" t="s">
        <v>252</v>
      </c>
      <c r="DC48" s="5">
        <v>0</v>
      </c>
      <c r="DD48" s="5" t="s">
        <v>252</v>
      </c>
      <c r="DE48" s="5" t="s">
        <v>204</v>
      </c>
      <c r="DF48" s="5" t="s">
        <v>1104</v>
      </c>
      <c r="DG48" s="5" t="s">
        <v>210</v>
      </c>
      <c r="DH48" s="5" t="s">
        <v>200</v>
      </c>
      <c r="DI48" s="5" t="s">
        <v>203</v>
      </c>
      <c r="DJ48" s="5" t="s">
        <v>208</v>
      </c>
      <c r="DK48" s="5" t="s">
        <v>210</v>
      </c>
      <c r="DL48" s="5" t="s">
        <v>210</v>
      </c>
      <c r="DM48" s="5" t="s">
        <v>210</v>
      </c>
      <c r="DN48" s="5" t="s">
        <v>204</v>
      </c>
      <c r="DO48" s="5" t="s">
        <v>210</v>
      </c>
      <c r="DP48" s="5" t="s">
        <v>219</v>
      </c>
      <c r="DQ48" s="5" t="s">
        <v>204</v>
      </c>
      <c r="DR48" s="5" t="s">
        <v>203</v>
      </c>
      <c r="DS48" s="5" t="s">
        <v>210</v>
      </c>
      <c r="DT48" s="5" t="s">
        <v>219</v>
      </c>
      <c r="DU48" s="5" t="s">
        <v>204</v>
      </c>
      <c r="DV48" s="5" t="s">
        <v>204</v>
      </c>
      <c r="DW48" s="5" t="s">
        <v>208</v>
      </c>
      <c r="DX48" s="5" t="s">
        <v>1105</v>
      </c>
      <c r="DY48" s="5" t="s">
        <v>210</v>
      </c>
      <c r="DZ48" s="5" t="s">
        <v>221</v>
      </c>
      <c r="EA48" s="5" t="s">
        <v>1106</v>
      </c>
      <c r="EB48" s="5" t="s">
        <v>208</v>
      </c>
      <c r="EC48" s="5" t="s">
        <v>1107</v>
      </c>
      <c r="ED48" s="5" t="s">
        <v>210</v>
      </c>
      <c r="EE48" s="5" t="s">
        <v>221</v>
      </c>
      <c r="EF48" s="5" t="s">
        <v>1108</v>
      </c>
      <c r="EG48" s="5" t="s">
        <v>208</v>
      </c>
      <c r="EH48" s="5" t="s">
        <v>1109</v>
      </c>
      <c r="EI48" s="5" t="s">
        <v>210</v>
      </c>
      <c r="EJ48" s="5" t="s">
        <v>219</v>
      </c>
      <c r="EK48" s="83" t="s">
        <v>1110</v>
      </c>
      <c r="EL48" s="5" t="s">
        <v>203</v>
      </c>
      <c r="EM48" s="5" t="s">
        <v>204</v>
      </c>
      <c r="EN48" s="5" t="s">
        <v>210</v>
      </c>
      <c r="EO48" s="5" t="s">
        <v>219</v>
      </c>
      <c r="EP48" s="5" t="s">
        <v>204</v>
      </c>
      <c r="EQ48" s="5" t="s">
        <v>208</v>
      </c>
      <c r="ER48" s="5" t="s">
        <v>1111</v>
      </c>
      <c r="ES48" s="79" t="s">
        <v>1112</v>
      </c>
      <c r="ET48" s="20" t="s">
        <v>529</v>
      </c>
      <c r="EU48" s="5" t="s">
        <v>302</v>
      </c>
      <c r="EV48" s="80" t="s">
        <v>371</v>
      </c>
      <c r="EW48" s="80" t="s">
        <v>371</v>
      </c>
      <c r="EX48" s="80" t="s">
        <v>204</v>
      </c>
      <c r="EY48" s="5" t="s">
        <v>262</v>
      </c>
      <c r="EZ48" s="5" t="s">
        <v>228</v>
      </c>
      <c r="FA48" s="5" t="s">
        <v>203</v>
      </c>
      <c r="FB48" s="5" t="s">
        <v>204</v>
      </c>
      <c r="FC48" t="s">
        <v>200</v>
      </c>
      <c r="FD48" s="5" t="s">
        <v>315</v>
      </c>
      <c r="FE48" s="5">
        <f>AMSTAR!BG44</f>
        <v>13</v>
      </c>
      <c r="FF48" s="5">
        <f>AMSTAR!BF44</f>
        <v>2</v>
      </c>
      <c r="FG48" s="34">
        <f t="shared" si="1"/>
        <v>0.15384615384615385</v>
      </c>
    </row>
    <row r="49" spans="1:163">
      <c r="A49" s="5"/>
      <c r="B49" s="43"/>
      <c r="C49" s="93" t="s">
        <v>1113</v>
      </c>
      <c r="D49" s="93">
        <v>2019</v>
      </c>
      <c r="E49" s="93" t="s">
        <v>1114</v>
      </c>
      <c r="F49" s="93" t="s">
        <v>905</v>
      </c>
      <c r="G49" s="80" t="s">
        <v>1115</v>
      </c>
      <c r="H49" s="5" t="s">
        <v>1116</v>
      </c>
      <c r="I49" s="5">
        <v>3</v>
      </c>
      <c r="J49" s="5" t="s">
        <v>1117</v>
      </c>
      <c r="K49" s="5" t="s">
        <v>208</v>
      </c>
      <c r="L49" s="5" t="s">
        <v>236</v>
      </c>
      <c r="M49" s="5" t="s">
        <v>209</v>
      </c>
      <c r="N49" s="5">
        <v>2000</v>
      </c>
      <c r="O49" s="5">
        <v>2015</v>
      </c>
      <c r="P49" s="5" t="s">
        <v>208</v>
      </c>
      <c r="Q49" s="5" t="s">
        <v>1118</v>
      </c>
      <c r="R49" s="5" t="s">
        <v>1119</v>
      </c>
      <c r="S49" s="5" t="s">
        <v>204</v>
      </c>
      <c r="T49" s="5" t="s">
        <v>496</v>
      </c>
      <c r="U49" s="5" t="s">
        <v>497</v>
      </c>
      <c r="V49" s="5" t="s">
        <v>208</v>
      </c>
      <c r="W49" s="5" t="s">
        <v>210</v>
      </c>
      <c r="X49" s="5">
        <v>8</v>
      </c>
      <c r="Y49" s="5">
        <v>8</v>
      </c>
      <c r="Z49" s="5">
        <v>4</v>
      </c>
      <c r="AA49" s="5" t="s">
        <v>1120</v>
      </c>
      <c r="AB49" s="5" t="s">
        <v>204</v>
      </c>
      <c r="AC49" s="5" t="s">
        <v>204</v>
      </c>
      <c r="AD49" s="5" t="s">
        <v>204</v>
      </c>
      <c r="AE49" s="5" t="s">
        <v>204</v>
      </c>
      <c r="AF49" s="5" t="s">
        <v>204</v>
      </c>
      <c r="AG49" s="5" t="s">
        <v>204</v>
      </c>
      <c r="AH49" s="5" t="s">
        <v>204</v>
      </c>
      <c r="AI49" s="5">
        <f t="shared" si="3"/>
        <v>1</v>
      </c>
      <c r="AJ49" s="5" t="s">
        <v>203</v>
      </c>
      <c r="AK49" s="5" t="s">
        <v>204</v>
      </c>
      <c r="AL49" s="5" t="s">
        <v>203</v>
      </c>
      <c r="AM49" s="5" t="s">
        <v>204</v>
      </c>
      <c r="AN49" s="5" t="s">
        <v>208</v>
      </c>
      <c r="AO49" s="5" t="s">
        <v>1121</v>
      </c>
      <c r="AP49" s="5" t="s">
        <v>254</v>
      </c>
      <c r="AQ49" s="5" t="s">
        <v>254</v>
      </c>
      <c r="AR49" s="5" t="s">
        <v>254</v>
      </c>
      <c r="AS49" s="5" t="s">
        <v>254</v>
      </c>
      <c r="AT49" s="5" t="s">
        <v>254</v>
      </c>
      <c r="AU49" s="5" t="s">
        <v>204</v>
      </c>
      <c r="AV49" s="5" t="s">
        <v>209</v>
      </c>
      <c r="AW49" s="5" t="s">
        <v>204</v>
      </c>
      <c r="AX49" s="5" t="s">
        <v>204</v>
      </c>
      <c r="AY49" s="5" t="s">
        <v>204</v>
      </c>
      <c r="AZ49" s="5" t="s">
        <v>204</v>
      </c>
      <c r="BA49" s="5" t="s">
        <v>204</v>
      </c>
      <c r="BB49" s="5" t="s">
        <v>204</v>
      </c>
      <c r="BC49" s="5" t="s">
        <v>204</v>
      </c>
      <c r="BD49" s="5" t="s">
        <v>204</v>
      </c>
      <c r="BE49" s="5" t="s">
        <v>204</v>
      </c>
      <c r="BF49" s="5" t="s">
        <v>204</v>
      </c>
      <c r="BG49" s="5" t="s">
        <v>204</v>
      </c>
      <c r="BH49" s="5" t="s">
        <v>204</v>
      </c>
      <c r="BI49" s="5" t="s">
        <v>204</v>
      </c>
      <c r="BJ49" s="5" t="s">
        <v>204</v>
      </c>
      <c r="BK49" s="5" t="s">
        <v>204</v>
      </c>
      <c r="BL49" s="5" t="s">
        <v>214</v>
      </c>
      <c r="BM49" s="5" t="s">
        <v>1122</v>
      </c>
      <c r="BN49" s="5" t="s">
        <v>203</v>
      </c>
      <c r="BO49" s="5" t="s">
        <v>200</v>
      </c>
      <c r="BP49" s="5" t="s">
        <v>203</v>
      </c>
      <c r="BQ49" s="5" t="s">
        <v>203</v>
      </c>
      <c r="BR49" s="5" t="s">
        <v>203</v>
      </c>
      <c r="BS49" s="5" t="s">
        <v>203</v>
      </c>
      <c r="BT49" s="5" t="s">
        <v>203</v>
      </c>
      <c r="BU49" s="5" t="s">
        <v>204</v>
      </c>
      <c r="BV49" s="5">
        <f>COUNTIF(BN49:BT49, "yes")</f>
        <v>1</v>
      </c>
      <c r="BW49" s="5" t="s">
        <v>203</v>
      </c>
      <c r="BX49" s="5" t="s">
        <v>203</v>
      </c>
      <c r="BY49" s="5" t="s">
        <v>203</v>
      </c>
      <c r="BZ49" s="5" t="s">
        <v>204</v>
      </c>
      <c r="CA49" s="5">
        <f>COUNTIF(BW49:BY49, "yes")</f>
        <v>0</v>
      </c>
      <c r="CB49" s="5" t="s">
        <v>203</v>
      </c>
      <c r="CC49" s="5" t="s">
        <v>200</v>
      </c>
      <c r="CD49" s="5" t="s">
        <v>203</v>
      </c>
      <c r="CE49" s="5" t="s">
        <v>200</v>
      </c>
      <c r="CF49" s="5" t="s">
        <v>203</v>
      </c>
      <c r="CG49" s="5" t="s">
        <v>210</v>
      </c>
      <c r="CH49" s="5" t="s">
        <v>203</v>
      </c>
      <c r="CI49" s="5" t="s">
        <v>208</v>
      </c>
      <c r="CJ49" s="5" t="s">
        <v>1123</v>
      </c>
      <c r="CK49" s="5">
        <f>COUNTIF(CB49:CI49, "yes")</f>
        <v>3</v>
      </c>
      <c r="CL49" s="5" t="s">
        <v>217</v>
      </c>
      <c r="CM49" s="5">
        <v>4</v>
      </c>
      <c r="CN49" s="5" t="s">
        <v>216</v>
      </c>
      <c r="CO49" s="5">
        <v>0</v>
      </c>
      <c r="CP49" s="5" t="s">
        <v>216</v>
      </c>
      <c r="CQ49" s="5">
        <v>0</v>
      </c>
      <c r="CR49" s="5" t="s">
        <v>216</v>
      </c>
      <c r="CS49" s="5">
        <v>0</v>
      </c>
      <c r="CT49" s="5" t="s">
        <v>216</v>
      </c>
      <c r="CU49" s="5">
        <v>0</v>
      </c>
      <c r="CV49" s="5" t="s">
        <v>216</v>
      </c>
      <c r="CW49" s="5">
        <v>0</v>
      </c>
      <c r="CX49" s="5" t="s">
        <v>216</v>
      </c>
      <c r="CY49" s="5">
        <v>0</v>
      </c>
      <c r="CZ49" s="5" t="s">
        <v>216</v>
      </c>
      <c r="DA49" s="5">
        <v>0</v>
      </c>
      <c r="DB49" s="5" t="s">
        <v>216</v>
      </c>
      <c r="DC49" s="5">
        <v>0</v>
      </c>
      <c r="DD49" s="5" t="s">
        <v>216</v>
      </c>
      <c r="DE49" s="5">
        <v>0</v>
      </c>
      <c r="DF49" s="5" t="s">
        <v>204</v>
      </c>
      <c r="DG49" s="5" t="s">
        <v>254</v>
      </c>
      <c r="DH49" s="5" t="s">
        <v>254</v>
      </c>
      <c r="DI49" s="5" t="s">
        <v>254</v>
      </c>
      <c r="DJ49" s="5" t="s">
        <v>254</v>
      </c>
      <c r="DK49" s="5" t="s">
        <v>254</v>
      </c>
      <c r="DL49" s="5" t="s">
        <v>254</v>
      </c>
      <c r="DM49" s="5" t="s">
        <v>203</v>
      </c>
      <c r="DN49" s="5" t="s">
        <v>204</v>
      </c>
      <c r="DO49" s="5" t="s">
        <v>210</v>
      </c>
      <c r="DP49" s="5" t="s">
        <v>219</v>
      </c>
      <c r="DQ49" s="5" t="s">
        <v>204</v>
      </c>
      <c r="DR49" s="5" t="s">
        <v>203</v>
      </c>
      <c r="DS49" s="5" t="s">
        <v>204</v>
      </c>
      <c r="DT49" s="5" t="s">
        <v>210</v>
      </c>
      <c r="DU49" s="5" t="s">
        <v>219</v>
      </c>
      <c r="DV49" s="5" t="s">
        <v>204</v>
      </c>
      <c r="DW49" s="5" t="s">
        <v>200</v>
      </c>
      <c r="DX49" s="5" t="s">
        <v>1124</v>
      </c>
      <c r="DY49" s="5" t="s">
        <v>210</v>
      </c>
      <c r="DZ49" s="5" t="s">
        <v>221</v>
      </c>
      <c r="EA49" s="5" t="s">
        <v>1125</v>
      </c>
      <c r="EB49" s="5" t="s">
        <v>208</v>
      </c>
      <c r="EC49" s="5" t="s">
        <v>1126</v>
      </c>
      <c r="ED49" s="5" t="s">
        <v>210</v>
      </c>
      <c r="EE49" s="5" t="s">
        <v>221</v>
      </c>
      <c r="EF49" s="5" t="s">
        <v>1127</v>
      </c>
      <c r="EG49" s="5" t="s">
        <v>208</v>
      </c>
      <c r="EH49" s="5" t="s">
        <v>698</v>
      </c>
      <c r="EI49" s="5" t="s">
        <v>210</v>
      </c>
      <c r="EJ49" s="5" t="s">
        <v>221</v>
      </c>
      <c r="EK49" s="5" t="s">
        <v>1128</v>
      </c>
      <c r="EL49" s="5" t="s">
        <v>208</v>
      </c>
      <c r="EM49" s="5" t="s">
        <v>700</v>
      </c>
      <c r="EN49" s="5" t="s">
        <v>210</v>
      </c>
      <c r="EO49" s="5" t="s">
        <v>221</v>
      </c>
      <c r="EP49" s="5" t="s">
        <v>1129</v>
      </c>
      <c r="EQ49" s="5" t="s">
        <v>203</v>
      </c>
      <c r="ER49" s="5" t="s">
        <v>204</v>
      </c>
      <c r="ES49" s="79" t="s">
        <v>204</v>
      </c>
      <c r="ET49" s="20" t="s">
        <v>261</v>
      </c>
      <c r="EU49" s="5" t="s">
        <v>204</v>
      </c>
      <c r="EV49" s="80" t="s">
        <v>371</v>
      </c>
      <c r="EW49" s="5" t="s">
        <v>371</v>
      </c>
      <c r="EX49" s="5" t="s">
        <v>371</v>
      </c>
      <c r="EY49" s="5" t="s">
        <v>262</v>
      </c>
      <c r="EZ49" s="5" t="s">
        <v>228</v>
      </c>
      <c r="FA49" s="5" t="s">
        <v>203</v>
      </c>
      <c r="FB49" s="5" t="s">
        <v>261</v>
      </c>
      <c r="FC49" s="5" t="s">
        <v>203</v>
      </c>
      <c r="FD49" s="5" t="s">
        <v>204</v>
      </c>
      <c r="FE49" s="5">
        <f>AMSTAR!BG45</f>
        <v>13</v>
      </c>
      <c r="FF49" s="5">
        <f>AMSTAR!BF45</f>
        <v>2.5</v>
      </c>
      <c r="FG49" s="34">
        <f t="shared" si="1"/>
        <v>0.19230769230769232</v>
      </c>
    </row>
    <row r="50" spans="1:163">
      <c r="A50" s="5"/>
      <c r="B50" s="30">
        <v>12529</v>
      </c>
      <c r="C50" s="93" t="s">
        <v>1130</v>
      </c>
      <c r="D50" s="93">
        <v>2019</v>
      </c>
      <c r="E50" s="93" t="s">
        <v>1131</v>
      </c>
      <c r="F50" s="93" t="s">
        <v>196</v>
      </c>
      <c r="G50" s="80" t="s">
        <v>1132</v>
      </c>
      <c r="H50" s="5" t="s">
        <v>198</v>
      </c>
      <c r="I50" s="5">
        <v>5</v>
      </c>
      <c r="J50" s="5" t="s">
        <v>1133</v>
      </c>
      <c r="K50" s="5" t="s">
        <v>208</v>
      </c>
      <c r="L50" s="5" t="s">
        <v>236</v>
      </c>
      <c r="M50" s="5" t="s">
        <v>1134</v>
      </c>
      <c r="N50" s="5">
        <v>1980</v>
      </c>
      <c r="O50" s="82">
        <v>2018</v>
      </c>
      <c r="P50" s="5" t="s">
        <v>210</v>
      </c>
      <c r="Q50" s="5" t="s">
        <v>204</v>
      </c>
      <c r="R50" s="5" t="s">
        <v>1135</v>
      </c>
      <c r="S50" t="s">
        <v>1136</v>
      </c>
      <c r="T50" s="5" t="s">
        <v>241</v>
      </c>
      <c r="U50" s="5" t="s">
        <v>472</v>
      </c>
      <c r="V50" s="5" t="s">
        <v>208</v>
      </c>
      <c r="W50" s="5" t="s">
        <v>208</v>
      </c>
      <c r="X50" s="5">
        <v>30</v>
      </c>
      <c r="Y50" s="5">
        <v>31</v>
      </c>
      <c r="Z50" s="5">
        <f>SUM(30-6)</f>
        <v>24</v>
      </c>
      <c r="AA50" s="5" t="s">
        <v>1137</v>
      </c>
      <c r="AB50" s="5">
        <v>866</v>
      </c>
      <c r="AC50" s="5">
        <v>339</v>
      </c>
      <c r="AD50" s="5">
        <f>SUM(AB50-AC50)</f>
        <v>527</v>
      </c>
      <c r="AE50" s="5">
        <v>11</v>
      </c>
      <c r="AF50" s="5">
        <v>62</v>
      </c>
      <c r="AG50" s="5" t="s">
        <v>209</v>
      </c>
      <c r="AH50" s="5" t="s">
        <v>1138</v>
      </c>
      <c r="AI50" s="5">
        <f t="shared" si="3"/>
        <v>2</v>
      </c>
      <c r="AJ50" s="5" t="s">
        <v>208</v>
      </c>
      <c r="AK50" s="5" t="s">
        <v>1139</v>
      </c>
      <c r="AL50" s="5" t="s">
        <v>200</v>
      </c>
      <c r="AM50" s="5" t="s">
        <v>1140</v>
      </c>
      <c r="AN50" s="5" t="s">
        <v>203</v>
      </c>
      <c r="AO50" s="5" t="s">
        <v>204</v>
      </c>
      <c r="AP50" s="5" t="s">
        <v>371</v>
      </c>
      <c r="AQ50" s="5" t="s">
        <v>371</v>
      </c>
      <c r="AR50" s="5" t="s">
        <v>371</v>
      </c>
      <c r="AS50" s="5" t="s">
        <v>371</v>
      </c>
      <c r="AT50" s="5" t="s">
        <v>371</v>
      </c>
      <c r="AU50" s="5" t="s">
        <v>209</v>
      </c>
      <c r="AV50" s="5" t="s">
        <v>209</v>
      </c>
      <c r="AW50" s="5" t="s">
        <v>204</v>
      </c>
      <c r="AX50" s="5" t="s">
        <v>209</v>
      </c>
      <c r="AY50" s="5" t="s">
        <v>204</v>
      </c>
      <c r="AZ50" s="5" t="s">
        <v>209</v>
      </c>
      <c r="BA50" s="5" t="s">
        <v>204</v>
      </c>
      <c r="BB50" s="5" t="s">
        <v>209</v>
      </c>
      <c r="BC50" s="5" t="s">
        <v>204</v>
      </c>
      <c r="BD50" s="5" t="s">
        <v>209</v>
      </c>
      <c r="BE50" s="5" t="s">
        <v>204</v>
      </c>
      <c r="BF50" s="5" t="s">
        <v>209</v>
      </c>
      <c r="BG50" s="5" t="s">
        <v>204</v>
      </c>
      <c r="BH50" s="5" t="s">
        <v>209</v>
      </c>
      <c r="BI50" s="5" t="s">
        <v>204</v>
      </c>
      <c r="BJ50" s="5" t="s">
        <v>209</v>
      </c>
      <c r="BK50" s="5" t="s">
        <v>204</v>
      </c>
      <c r="BL50" s="5" t="s">
        <v>249</v>
      </c>
      <c r="BM50" s="5" t="s">
        <v>1141</v>
      </c>
      <c r="BN50" s="5" t="s">
        <v>203</v>
      </c>
      <c r="BO50" s="5" t="s">
        <v>203</v>
      </c>
      <c r="BP50" s="5" t="s">
        <v>203</v>
      </c>
      <c r="BQ50" s="5" t="s">
        <v>200</v>
      </c>
      <c r="BR50" s="5" t="s">
        <v>203</v>
      </c>
      <c r="BS50" s="5" t="s">
        <v>203</v>
      </c>
      <c r="BT50" s="5" t="s">
        <v>203</v>
      </c>
      <c r="BU50" s="5" t="s">
        <v>210</v>
      </c>
      <c r="BV50" s="5">
        <f>COUNTIF(BN50:BT50, "yes")</f>
        <v>1</v>
      </c>
      <c r="BW50" s="5" t="s">
        <v>203</v>
      </c>
      <c r="BX50" s="5" t="s">
        <v>203</v>
      </c>
      <c r="BY50" s="5" t="s">
        <v>203</v>
      </c>
      <c r="BZ50" s="5" t="s">
        <v>204</v>
      </c>
      <c r="CA50" s="5">
        <f>COUNTIF(BW50:BY50, "yes")</f>
        <v>0</v>
      </c>
      <c r="CB50" s="5" t="s">
        <v>210</v>
      </c>
      <c r="CC50" s="5" t="s">
        <v>210</v>
      </c>
      <c r="CD50" s="5" t="s">
        <v>210</v>
      </c>
      <c r="CE50" s="5" t="s">
        <v>210</v>
      </c>
      <c r="CF50" s="5" t="s">
        <v>210</v>
      </c>
      <c r="CG50" s="5" t="s">
        <v>210</v>
      </c>
      <c r="CH50" s="5" t="s">
        <v>210</v>
      </c>
      <c r="CI50" s="5" t="s">
        <v>210</v>
      </c>
      <c r="CJ50" s="5" t="s">
        <v>204</v>
      </c>
      <c r="CK50" s="5">
        <f>COUNTIF(CB50:CI50, "yes")</f>
        <v>0</v>
      </c>
      <c r="CL50" s="5" t="s">
        <v>216</v>
      </c>
      <c r="CM50" s="5">
        <v>0</v>
      </c>
      <c r="CN50" s="5" t="s">
        <v>217</v>
      </c>
      <c r="CO50" s="5">
        <v>6</v>
      </c>
      <c r="CP50" s="5" t="s">
        <v>217</v>
      </c>
      <c r="CQ50" s="5">
        <v>3</v>
      </c>
      <c r="CR50" s="5" t="s">
        <v>217</v>
      </c>
      <c r="CS50" s="5">
        <v>8</v>
      </c>
      <c r="CT50" s="5" t="s">
        <v>216</v>
      </c>
      <c r="CU50" s="5">
        <v>0</v>
      </c>
      <c r="CV50" s="5" t="s">
        <v>217</v>
      </c>
      <c r="CW50" s="5">
        <v>7</v>
      </c>
      <c r="CX50" s="5" t="s">
        <v>216</v>
      </c>
      <c r="CY50" s="5">
        <v>0</v>
      </c>
      <c r="CZ50" s="5" t="s">
        <v>216</v>
      </c>
      <c r="DA50" s="5">
        <v>0</v>
      </c>
      <c r="DB50" s="5" t="s">
        <v>216</v>
      </c>
      <c r="DC50" s="5">
        <v>0</v>
      </c>
      <c r="DD50" s="5" t="s">
        <v>216</v>
      </c>
      <c r="DE50" s="5">
        <v>0</v>
      </c>
      <c r="DF50" s="5" t="s">
        <v>1142</v>
      </c>
      <c r="DG50" s="5" t="s">
        <v>208</v>
      </c>
      <c r="DH50" s="5" t="s">
        <v>208</v>
      </c>
      <c r="DI50" s="5" t="s">
        <v>208</v>
      </c>
      <c r="DJ50" s="5" t="s">
        <v>203</v>
      </c>
      <c r="DK50" s="5" t="s">
        <v>200</v>
      </c>
      <c r="DL50" s="5" t="s">
        <v>208</v>
      </c>
      <c r="DM50" s="5" t="s">
        <v>208</v>
      </c>
      <c r="DN50" s="5" t="s">
        <v>1143</v>
      </c>
      <c r="DO50" s="5" t="s">
        <v>210</v>
      </c>
      <c r="DP50" s="5" t="s">
        <v>221</v>
      </c>
      <c r="DQ50" s="5" t="s">
        <v>1144</v>
      </c>
      <c r="DR50" s="5" t="s">
        <v>203</v>
      </c>
      <c r="DS50" s="5" t="s">
        <v>204</v>
      </c>
      <c r="DT50" s="5" t="s">
        <v>210</v>
      </c>
      <c r="DU50" s="5" t="s">
        <v>219</v>
      </c>
      <c r="DV50" s="5" t="s">
        <v>204</v>
      </c>
      <c r="DW50" s="5" t="s">
        <v>208</v>
      </c>
      <c r="DX50" s="5" t="s">
        <v>1145</v>
      </c>
      <c r="DY50" s="5" t="s">
        <v>210</v>
      </c>
      <c r="DZ50" s="5" t="s">
        <v>221</v>
      </c>
      <c r="EA50" s="5" t="s">
        <v>1146</v>
      </c>
      <c r="EB50" s="5" t="s">
        <v>203</v>
      </c>
      <c r="EC50" s="5" t="s">
        <v>204</v>
      </c>
      <c r="ED50" s="5" t="s">
        <v>210</v>
      </c>
      <c r="EE50" s="5" t="s">
        <v>219</v>
      </c>
      <c r="EF50" s="5" t="s">
        <v>204</v>
      </c>
      <c r="EG50" s="5" t="s">
        <v>203</v>
      </c>
      <c r="EH50" s="5" t="s">
        <v>204</v>
      </c>
      <c r="EI50" s="5" t="s">
        <v>210</v>
      </c>
      <c r="EJ50" s="5" t="s">
        <v>219</v>
      </c>
      <c r="EK50" s="5" t="s">
        <v>204</v>
      </c>
      <c r="EL50" s="5" t="s">
        <v>203</v>
      </c>
      <c r="EM50" s="5" t="s">
        <v>204</v>
      </c>
      <c r="EN50" s="5" t="s">
        <v>210</v>
      </c>
      <c r="EO50" s="5" t="s">
        <v>219</v>
      </c>
      <c r="EP50" s="5" t="s">
        <v>204</v>
      </c>
      <c r="EQ50" s="5" t="s">
        <v>200</v>
      </c>
      <c r="ER50" s="5" t="s">
        <v>1147</v>
      </c>
      <c r="ES50" s="79" t="s">
        <v>1148</v>
      </c>
      <c r="ET50" s="20" t="s">
        <v>292</v>
      </c>
      <c r="EU50" s="5" t="s">
        <v>1149</v>
      </c>
      <c r="EV50" s="80" t="s">
        <v>371</v>
      </c>
      <c r="EW50" s="80" t="s">
        <v>371</v>
      </c>
      <c r="EX50" s="80" t="s">
        <v>371</v>
      </c>
      <c r="EY50" s="5" t="s">
        <v>262</v>
      </c>
      <c r="EZ50" s="5" t="s">
        <v>228</v>
      </c>
      <c r="FA50" s="5" t="s">
        <v>203</v>
      </c>
      <c r="FB50" s="5" t="s">
        <v>204</v>
      </c>
      <c r="FC50" s="5" t="s">
        <v>208</v>
      </c>
      <c r="FD50" s="5" t="s">
        <v>315</v>
      </c>
      <c r="FE50" s="5">
        <f>AMSTAR!BG46</f>
        <v>13</v>
      </c>
      <c r="FF50" s="5">
        <f>AMSTAR!BF46</f>
        <v>4</v>
      </c>
      <c r="FG50" s="34">
        <f t="shared" si="1"/>
        <v>0.30769230769230771</v>
      </c>
    </row>
    <row r="51" spans="1:163">
      <c r="A51" s="5"/>
      <c r="B51" s="30">
        <v>27091</v>
      </c>
      <c r="C51" s="93" t="s">
        <v>1150</v>
      </c>
      <c r="D51" s="93">
        <v>2019</v>
      </c>
      <c r="E51" s="93" t="s">
        <v>1151</v>
      </c>
      <c r="F51" s="93" t="s">
        <v>233</v>
      </c>
      <c r="G51" s="80" t="s">
        <v>1152</v>
      </c>
      <c r="H51" s="5" t="s">
        <v>1153</v>
      </c>
      <c r="I51" s="5">
        <v>8</v>
      </c>
      <c r="J51" s="5" t="s">
        <v>1154</v>
      </c>
      <c r="K51" s="5" t="s">
        <v>208</v>
      </c>
      <c r="L51" s="5" t="s">
        <v>236</v>
      </c>
      <c r="M51" s="5" t="s">
        <v>1155</v>
      </c>
      <c r="N51" s="5">
        <v>1995</v>
      </c>
      <c r="O51" s="5">
        <v>2017</v>
      </c>
      <c r="P51" s="5" t="s">
        <v>208</v>
      </c>
      <c r="Q51" s="5" t="s">
        <v>1156</v>
      </c>
      <c r="R51" s="5" t="s">
        <v>1157</v>
      </c>
      <c r="S51" s="5" t="s">
        <v>1158</v>
      </c>
      <c r="T51" s="5" t="s">
        <v>241</v>
      </c>
      <c r="U51" s="5" t="s">
        <v>1159</v>
      </c>
      <c r="V51" s="5" t="s">
        <v>208</v>
      </c>
      <c r="W51" s="5" t="s">
        <v>200</v>
      </c>
      <c r="X51" s="5">
        <v>73</v>
      </c>
      <c r="Y51" s="5">
        <v>73</v>
      </c>
      <c r="Z51" s="5">
        <v>16</v>
      </c>
      <c r="AA51" s="5" t="s">
        <v>1160</v>
      </c>
      <c r="AB51" s="5">
        <v>576</v>
      </c>
      <c r="AC51" s="5" t="s">
        <v>209</v>
      </c>
      <c r="AD51" s="5" t="s">
        <v>209</v>
      </c>
      <c r="AE51" s="5">
        <v>45</v>
      </c>
      <c r="AF51" s="5">
        <v>80</v>
      </c>
      <c r="AG51" s="5" t="s">
        <v>1161</v>
      </c>
      <c r="AH51" s="5" t="s">
        <v>302</v>
      </c>
      <c r="AI51" s="5">
        <f t="shared" si="3"/>
        <v>1</v>
      </c>
      <c r="AJ51" s="5" t="s">
        <v>203</v>
      </c>
      <c r="AK51" s="5" t="s">
        <v>204</v>
      </c>
      <c r="AL51" s="5" t="s">
        <v>200</v>
      </c>
      <c r="AM51" s="5" t="s">
        <v>1162</v>
      </c>
      <c r="AN51" s="5" t="s">
        <v>203</v>
      </c>
      <c r="AO51" s="5" t="s">
        <v>204</v>
      </c>
      <c r="AP51" s="5" t="s">
        <v>371</v>
      </c>
      <c r="AQ51" s="5" t="s">
        <v>371</v>
      </c>
      <c r="AR51" s="5" t="s">
        <v>371</v>
      </c>
      <c r="AS51" s="5" t="s">
        <v>371</v>
      </c>
      <c r="AT51" s="5" t="s">
        <v>371</v>
      </c>
      <c r="AU51" s="5">
        <v>6</v>
      </c>
      <c r="AV51" s="5">
        <v>2</v>
      </c>
      <c r="AW51" s="32" t="s">
        <v>1163</v>
      </c>
      <c r="AX51" s="5">
        <v>2</v>
      </c>
      <c r="AY51" s="5" t="s">
        <v>1164</v>
      </c>
      <c r="AZ51" s="5">
        <v>3</v>
      </c>
      <c r="BA51" s="5" t="s">
        <v>1165</v>
      </c>
      <c r="BB51" s="5">
        <v>2</v>
      </c>
      <c r="BC51" s="5" t="s">
        <v>1166</v>
      </c>
      <c r="BD51" s="5">
        <v>0</v>
      </c>
      <c r="BE51" s="5" t="s">
        <v>204</v>
      </c>
      <c r="BF51" s="5">
        <v>0</v>
      </c>
      <c r="BG51" s="5" t="s">
        <v>204</v>
      </c>
      <c r="BH51" s="5">
        <v>1</v>
      </c>
      <c r="BI51" s="5" t="s">
        <v>1167</v>
      </c>
      <c r="BJ51" s="5">
        <v>0</v>
      </c>
      <c r="BK51" s="5" t="s">
        <v>204</v>
      </c>
      <c r="BL51" s="5" t="s">
        <v>214</v>
      </c>
      <c r="BM51" s="5" t="s">
        <v>1168</v>
      </c>
      <c r="BN51" s="5" t="s">
        <v>203</v>
      </c>
      <c r="BO51" s="5" t="s">
        <v>203</v>
      </c>
      <c r="BP51" s="5" t="s">
        <v>203</v>
      </c>
      <c r="BQ51" s="5" t="s">
        <v>203</v>
      </c>
      <c r="BR51" s="5" t="s">
        <v>203</v>
      </c>
      <c r="BS51" s="5" t="s">
        <v>203</v>
      </c>
      <c r="BT51" s="5" t="s">
        <v>203</v>
      </c>
      <c r="BU51" s="5" t="s">
        <v>204</v>
      </c>
      <c r="BV51" s="5">
        <f>COUNTIF(BN51:BT51, "yes")</f>
        <v>0</v>
      </c>
      <c r="BW51" s="5" t="s">
        <v>203</v>
      </c>
      <c r="BX51" s="5" t="s">
        <v>203</v>
      </c>
      <c r="BY51" s="5" t="s">
        <v>203</v>
      </c>
      <c r="BZ51" s="5" t="s">
        <v>204</v>
      </c>
      <c r="CA51" s="5">
        <f>COUNTIF(BW51:BY51, "yes")</f>
        <v>0</v>
      </c>
      <c r="CB51" s="5" t="s">
        <v>208</v>
      </c>
      <c r="CC51" s="5" t="s">
        <v>208</v>
      </c>
      <c r="CD51" s="5" t="s">
        <v>200</v>
      </c>
      <c r="CE51" s="5" t="s">
        <v>208</v>
      </c>
      <c r="CF51" s="5" t="s">
        <v>210</v>
      </c>
      <c r="CG51" s="5" t="s">
        <v>1169</v>
      </c>
      <c r="CH51" s="5" t="s">
        <v>203</v>
      </c>
      <c r="CI51" s="5" t="s">
        <v>208</v>
      </c>
      <c r="CJ51" s="5" t="s">
        <v>1170</v>
      </c>
      <c r="CK51" s="5">
        <f>COUNTIF(CB51:CI51, "yes")</f>
        <v>5</v>
      </c>
      <c r="CL51" s="5" t="s">
        <v>216</v>
      </c>
      <c r="CM51" s="5">
        <v>0</v>
      </c>
      <c r="CN51" s="5" t="s">
        <v>217</v>
      </c>
      <c r="CO51" s="5">
        <v>1</v>
      </c>
      <c r="CP51" s="5" t="s">
        <v>217</v>
      </c>
      <c r="CQ51" s="5">
        <v>3</v>
      </c>
      <c r="CR51" s="5" t="s">
        <v>217</v>
      </c>
      <c r="CS51" s="5">
        <v>2</v>
      </c>
      <c r="CT51" s="5" t="s">
        <v>251</v>
      </c>
      <c r="CU51" s="5">
        <v>0</v>
      </c>
      <c r="CV51" s="5" t="s">
        <v>217</v>
      </c>
      <c r="CW51" s="5">
        <v>4</v>
      </c>
      <c r="CX51" s="5" t="s">
        <v>217</v>
      </c>
      <c r="CY51" s="5">
        <v>5</v>
      </c>
      <c r="CZ51" s="5" t="s">
        <v>251</v>
      </c>
      <c r="DA51" s="5">
        <v>0</v>
      </c>
      <c r="DB51" s="5" t="s">
        <v>252</v>
      </c>
      <c r="DC51" s="5">
        <v>0</v>
      </c>
      <c r="DD51" s="5" t="s">
        <v>252</v>
      </c>
      <c r="DE51" s="5" t="s">
        <v>204</v>
      </c>
      <c r="DF51" s="5" t="s">
        <v>1019</v>
      </c>
      <c r="DG51" s="5" t="s">
        <v>254</v>
      </c>
      <c r="DH51" s="5" t="s">
        <v>254</v>
      </c>
      <c r="DI51" s="5" t="s">
        <v>254</v>
      </c>
      <c r="DJ51" s="5" t="s">
        <v>254</v>
      </c>
      <c r="DK51" s="5" t="s">
        <v>254</v>
      </c>
      <c r="DL51" s="5" t="s">
        <v>254</v>
      </c>
      <c r="DM51" s="5" t="s">
        <v>203</v>
      </c>
      <c r="DN51" s="5" t="s">
        <v>204</v>
      </c>
      <c r="DO51" s="5" t="s">
        <v>210</v>
      </c>
      <c r="DP51" s="5" t="s">
        <v>219</v>
      </c>
      <c r="DQ51" s="5" t="s">
        <v>204</v>
      </c>
      <c r="DR51" s="5" t="s">
        <v>203</v>
      </c>
      <c r="DS51" s="5" t="s">
        <v>204</v>
      </c>
      <c r="DT51" s="5" t="s">
        <v>210</v>
      </c>
      <c r="DU51" s="5" t="s">
        <v>219</v>
      </c>
      <c r="DV51" s="5" t="s">
        <v>204</v>
      </c>
      <c r="DW51" s="5" t="s">
        <v>208</v>
      </c>
      <c r="DX51" s="5" t="s">
        <v>1171</v>
      </c>
      <c r="DY51" s="5" t="s">
        <v>210</v>
      </c>
      <c r="DZ51" s="5" t="s">
        <v>221</v>
      </c>
      <c r="EA51" s="5" t="s">
        <v>1172</v>
      </c>
      <c r="EB51" s="5" t="s">
        <v>203</v>
      </c>
      <c r="EC51" s="5" t="s">
        <v>204</v>
      </c>
      <c r="ED51" s="5" t="s">
        <v>210</v>
      </c>
      <c r="EE51" s="5" t="s">
        <v>219</v>
      </c>
      <c r="EF51" s="5" t="s">
        <v>204</v>
      </c>
      <c r="EG51" s="5" t="s">
        <v>203</v>
      </c>
      <c r="EH51" s="5" t="s">
        <v>204</v>
      </c>
      <c r="EI51" s="5" t="s">
        <v>210</v>
      </c>
      <c r="EJ51" s="5" t="s">
        <v>219</v>
      </c>
      <c r="EK51" s="5" t="s">
        <v>204</v>
      </c>
      <c r="EL51" s="5" t="s">
        <v>203</v>
      </c>
      <c r="EM51" s="5" t="s">
        <v>204</v>
      </c>
      <c r="EN51" s="5" t="s">
        <v>210</v>
      </c>
      <c r="EO51" s="5" t="s">
        <v>219</v>
      </c>
      <c r="EP51" s="5" t="s">
        <v>204</v>
      </c>
      <c r="EQ51" s="5" t="s">
        <v>208</v>
      </c>
      <c r="ER51" s="5" t="s">
        <v>1173</v>
      </c>
      <c r="ES51" s="79" t="s">
        <v>1174</v>
      </c>
      <c r="ET51" s="20" t="s">
        <v>529</v>
      </c>
      <c r="EU51" s="5" t="s">
        <v>302</v>
      </c>
      <c r="EV51" s="80" t="s">
        <v>203</v>
      </c>
      <c r="EW51" s="5" t="s">
        <v>371</v>
      </c>
      <c r="EX51" s="5" t="s">
        <v>204</v>
      </c>
      <c r="EY51" s="5" t="s">
        <v>262</v>
      </c>
      <c r="EZ51" s="5" t="s">
        <v>228</v>
      </c>
      <c r="FA51" s="5" t="s">
        <v>208</v>
      </c>
      <c r="FB51" s="5" t="s">
        <v>1175</v>
      </c>
      <c r="FC51" s="5" t="s">
        <v>208</v>
      </c>
      <c r="FD51" s="5" t="s">
        <v>315</v>
      </c>
      <c r="FE51" s="5">
        <f>AMSTAR!BG47</f>
        <v>13</v>
      </c>
      <c r="FF51" s="5">
        <f>AMSTAR!BF47</f>
        <v>2</v>
      </c>
      <c r="FG51" s="34">
        <f t="shared" si="1"/>
        <v>0.15384615384615385</v>
      </c>
    </row>
    <row r="52" spans="1:163">
      <c r="A52" s="5"/>
      <c r="B52" s="30">
        <v>4746</v>
      </c>
      <c r="C52" s="94" t="s">
        <v>1176</v>
      </c>
      <c r="D52" s="94">
        <v>2014</v>
      </c>
      <c r="E52" s="94" t="s">
        <v>1177</v>
      </c>
      <c r="F52" s="94" t="s">
        <v>233</v>
      </c>
      <c r="G52" s="95" t="s">
        <v>1178</v>
      </c>
      <c r="H52" s="96" t="s">
        <v>198</v>
      </c>
      <c r="I52" s="96">
        <v>3</v>
      </c>
      <c r="J52" s="96" t="s">
        <v>1179</v>
      </c>
      <c r="K52" s="96" t="s">
        <v>208</v>
      </c>
      <c r="L52" s="96" t="s">
        <v>236</v>
      </c>
      <c r="M52" s="96" t="s">
        <v>1180</v>
      </c>
      <c r="N52" s="96">
        <v>1990</v>
      </c>
      <c r="O52" s="96">
        <v>2014</v>
      </c>
      <c r="P52" s="96" t="s">
        <v>210</v>
      </c>
      <c r="Q52" s="96" t="s">
        <v>204</v>
      </c>
      <c r="R52" s="96" t="s">
        <v>1181</v>
      </c>
      <c r="S52" s="96" t="s">
        <v>1182</v>
      </c>
      <c r="T52" s="96" t="s">
        <v>241</v>
      </c>
      <c r="U52" s="96" t="s">
        <v>1183</v>
      </c>
      <c r="V52" s="96" t="s">
        <v>200</v>
      </c>
      <c r="W52" s="96" t="s">
        <v>210</v>
      </c>
      <c r="X52" s="96">
        <v>21</v>
      </c>
      <c r="Y52" s="96">
        <v>22</v>
      </c>
      <c r="Z52" s="96">
        <v>21</v>
      </c>
      <c r="AA52" s="96" t="s">
        <v>204</v>
      </c>
      <c r="AB52" s="96">
        <v>3738</v>
      </c>
      <c r="AC52" s="96" t="s">
        <v>209</v>
      </c>
      <c r="AD52" s="96" t="s">
        <v>209</v>
      </c>
      <c r="AE52" s="96" t="s">
        <v>209</v>
      </c>
      <c r="AF52" s="96" t="s">
        <v>209</v>
      </c>
      <c r="AG52" s="96" t="s">
        <v>209</v>
      </c>
      <c r="AH52" s="96" t="s">
        <v>1184</v>
      </c>
      <c r="AI52" s="5">
        <f t="shared" si="3"/>
        <v>1</v>
      </c>
      <c r="AJ52" s="96" t="s">
        <v>210</v>
      </c>
      <c r="AK52" s="96" t="s">
        <v>204</v>
      </c>
      <c r="AL52" s="96" t="s">
        <v>208</v>
      </c>
      <c r="AM52" s="96" t="s">
        <v>1185</v>
      </c>
      <c r="AN52" s="96" t="s">
        <v>203</v>
      </c>
      <c r="AO52" s="96" t="s">
        <v>204</v>
      </c>
      <c r="AP52" s="96" t="s">
        <v>371</v>
      </c>
      <c r="AQ52" s="96" t="s">
        <v>371</v>
      </c>
      <c r="AR52" s="96" t="s">
        <v>371</v>
      </c>
      <c r="AS52" s="96" t="s">
        <v>371</v>
      </c>
      <c r="AT52" s="96" t="s">
        <v>371</v>
      </c>
      <c r="AU52" s="96">
        <v>3</v>
      </c>
      <c r="AV52" s="96">
        <v>8</v>
      </c>
      <c r="AW52" s="96" t="s">
        <v>349</v>
      </c>
      <c r="AX52" s="93">
        <v>0</v>
      </c>
      <c r="AY52" s="93" t="s">
        <v>204</v>
      </c>
      <c r="AZ52" s="96">
        <v>1</v>
      </c>
      <c r="BA52" s="96" t="s">
        <v>1186</v>
      </c>
      <c r="BB52" s="96">
        <v>7</v>
      </c>
      <c r="BC52" s="96" t="s">
        <v>1187</v>
      </c>
      <c r="BD52" s="96">
        <v>0</v>
      </c>
      <c r="BE52" s="96" t="s">
        <v>204</v>
      </c>
      <c r="BF52" s="96">
        <v>0</v>
      </c>
      <c r="BG52" s="96" t="s">
        <v>204</v>
      </c>
      <c r="BH52" s="96">
        <v>2</v>
      </c>
      <c r="BI52" s="96" t="s">
        <v>1188</v>
      </c>
      <c r="BJ52" s="96">
        <v>0</v>
      </c>
      <c r="BK52" s="96" t="s">
        <v>204</v>
      </c>
      <c r="BL52" s="96" t="s">
        <v>1189</v>
      </c>
      <c r="BM52" s="96" t="s">
        <v>1190</v>
      </c>
      <c r="BN52" s="96" t="s">
        <v>210</v>
      </c>
      <c r="BO52" s="96" t="s">
        <v>210</v>
      </c>
      <c r="BP52" s="96" t="s">
        <v>210</v>
      </c>
      <c r="BQ52" s="96" t="s">
        <v>210</v>
      </c>
      <c r="BR52" s="96" t="s">
        <v>210</v>
      </c>
      <c r="BS52" s="96" t="s">
        <v>210</v>
      </c>
      <c r="BT52" s="96" t="s">
        <v>210</v>
      </c>
      <c r="BU52" s="96" t="s">
        <v>204</v>
      </c>
      <c r="BV52" s="96">
        <f>COUNTIF(BN52:BT52, "yes")</f>
        <v>0</v>
      </c>
      <c r="BW52" s="96" t="s">
        <v>200</v>
      </c>
      <c r="BX52" s="96" t="s">
        <v>203</v>
      </c>
      <c r="BY52" s="96" t="s">
        <v>203</v>
      </c>
      <c r="BZ52" s="96" t="s">
        <v>204</v>
      </c>
      <c r="CA52" s="96">
        <f>COUNTIF(BW52:BY52, "yes")</f>
        <v>1</v>
      </c>
      <c r="CB52" s="96" t="s">
        <v>210</v>
      </c>
      <c r="CC52" s="96" t="s">
        <v>210</v>
      </c>
      <c r="CD52" s="96" t="s">
        <v>210</v>
      </c>
      <c r="CE52" s="96" t="s">
        <v>210</v>
      </c>
      <c r="CF52" s="5" t="s">
        <v>210</v>
      </c>
      <c r="CG52" s="5" t="s">
        <v>210</v>
      </c>
      <c r="CH52" s="5" t="s">
        <v>210</v>
      </c>
      <c r="CI52" s="5" t="s">
        <v>210</v>
      </c>
      <c r="CJ52" s="5" t="s">
        <v>204</v>
      </c>
      <c r="CK52" s="5">
        <f>COUNTIF(CB52:CI52, "yes")</f>
        <v>0</v>
      </c>
      <c r="CL52" s="5" t="s">
        <v>252</v>
      </c>
      <c r="CM52" s="5">
        <v>0</v>
      </c>
      <c r="CN52" s="5" t="s">
        <v>251</v>
      </c>
      <c r="CO52" s="5">
        <v>0</v>
      </c>
      <c r="CP52" s="5" t="s">
        <v>217</v>
      </c>
      <c r="CQ52" s="5">
        <v>12</v>
      </c>
      <c r="CR52" s="5" t="s">
        <v>217</v>
      </c>
      <c r="CS52" s="5">
        <v>5</v>
      </c>
      <c r="CT52" s="5" t="s">
        <v>252</v>
      </c>
      <c r="CU52" s="5">
        <v>0</v>
      </c>
      <c r="CV52" s="5" t="s">
        <v>252</v>
      </c>
      <c r="CW52" s="5">
        <v>0</v>
      </c>
      <c r="CX52" s="5" t="s">
        <v>217</v>
      </c>
      <c r="CY52" s="5">
        <v>1</v>
      </c>
      <c r="CZ52" s="5" t="s">
        <v>217</v>
      </c>
      <c r="DA52" s="5">
        <v>3</v>
      </c>
      <c r="DB52" s="5" t="s">
        <v>252</v>
      </c>
      <c r="DC52" s="5">
        <v>0</v>
      </c>
      <c r="DD52" s="5" t="s">
        <v>252</v>
      </c>
      <c r="DE52" s="5">
        <v>0</v>
      </c>
      <c r="DF52" s="5" t="s">
        <v>1191</v>
      </c>
      <c r="DG52" s="5" t="s">
        <v>203</v>
      </c>
      <c r="DH52" s="5" t="s">
        <v>208</v>
      </c>
      <c r="DI52" s="5" t="s">
        <v>203</v>
      </c>
      <c r="DJ52" s="5" t="s">
        <v>203</v>
      </c>
      <c r="DK52" s="5" t="s">
        <v>208</v>
      </c>
      <c r="DL52" s="5" t="s">
        <v>200</v>
      </c>
      <c r="DM52" s="5" t="s">
        <v>210</v>
      </c>
      <c r="DN52" s="5" t="s">
        <v>204</v>
      </c>
      <c r="DO52" s="5" t="s">
        <v>210</v>
      </c>
      <c r="DP52" s="5" t="s">
        <v>219</v>
      </c>
      <c r="DQ52" s="5" t="s">
        <v>204</v>
      </c>
      <c r="DR52" s="5" t="s">
        <v>208</v>
      </c>
      <c r="DS52" s="5" t="s">
        <v>1192</v>
      </c>
      <c r="DT52" s="5" t="s">
        <v>219</v>
      </c>
      <c r="DU52" s="5" t="s">
        <v>221</v>
      </c>
      <c r="DV52" s="5" t="s">
        <v>1193</v>
      </c>
      <c r="DW52" s="5" t="s">
        <v>203</v>
      </c>
      <c r="DX52" s="5" t="s">
        <v>204</v>
      </c>
      <c r="DY52" s="5" t="s">
        <v>210</v>
      </c>
      <c r="DZ52" s="5" t="s">
        <v>219</v>
      </c>
      <c r="EA52" s="5" t="s">
        <v>204</v>
      </c>
      <c r="EB52" s="5" t="s">
        <v>203</v>
      </c>
      <c r="EC52" s="5" t="s">
        <v>204</v>
      </c>
      <c r="ED52" s="5" t="s">
        <v>210</v>
      </c>
      <c r="EE52" s="5" t="s">
        <v>219</v>
      </c>
      <c r="EF52" s="5" t="s">
        <v>204</v>
      </c>
      <c r="EG52" s="5" t="s">
        <v>203</v>
      </c>
      <c r="EH52" s="5" t="s">
        <v>204</v>
      </c>
      <c r="EI52" s="5" t="s">
        <v>210</v>
      </c>
      <c r="EJ52" s="5" t="s">
        <v>219</v>
      </c>
      <c r="EK52" s="5" t="s">
        <v>204</v>
      </c>
      <c r="EL52" s="5" t="s">
        <v>203</v>
      </c>
      <c r="EM52" s="5" t="s">
        <v>204</v>
      </c>
      <c r="EN52" s="5" t="s">
        <v>210</v>
      </c>
      <c r="EO52" s="5" t="s">
        <v>219</v>
      </c>
      <c r="EP52" s="5" t="s">
        <v>204</v>
      </c>
      <c r="EQ52" s="5" t="s">
        <v>203</v>
      </c>
      <c r="ER52" s="5" t="s">
        <v>204</v>
      </c>
      <c r="ES52" s="79" t="s">
        <v>204</v>
      </c>
      <c r="ET52" s="20" t="s">
        <v>261</v>
      </c>
      <c r="EU52" s="5" t="s">
        <v>204</v>
      </c>
      <c r="EV52" s="80" t="s">
        <v>371</v>
      </c>
      <c r="EW52" s="5" t="s">
        <v>371</v>
      </c>
      <c r="EX52" s="5" t="s">
        <v>371</v>
      </c>
      <c r="EY52" s="5" t="s">
        <v>262</v>
      </c>
      <c r="EZ52" s="5" t="s">
        <v>228</v>
      </c>
      <c r="FA52" s="5" t="s">
        <v>210</v>
      </c>
      <c r="FB52" s="5" t="s">
        <v>204</v>
      </c>
      <c r="FC52" s="5" t="s">
        <v>203</v>
      </c>
      <c r="FD52" s="5" t="s">
        <v>204</v>
      </c>
      <c r="FE52" s="5">
        <f>AMSTAR!BG48</f>
        <v>13</v>
      </c>
      <c r="FF52" s="5">
        <f>AMSTAR!BF48</f>
        <v>2</v>
      </c>
      <c r="FG52" s="34">
        <f t="shared" si="1"/>
        <v>0.15384615384615385</v>
      </c>
    </row>
    <row r="53" spans="1:163">
      <c r="A53" s="5"/>
      <c r="B53" s="20"/>
      <c r="C53" s="93" t="s">
        <v>1194</v>
      </c>
      <c r="D53" s="93">
        <v>2014</v>
      </c>
      <c r="E53" s="97" t="s">
        <v>1195</v>
      </c>
      <c r="F53" s="93" t="s">
        <v>341</v>
      </c>
      <c r="G53" s="93" t="s">
        <v>1196</v>
      </c>
      <c r="H53" s="93" t="s">
        <v>198</v>
      </c>
      <c r="I53" s="93">
        <v>9</v>
      </c>
      <c r="J53" s="93" t="s">
        <v>1197</v>
      </c>
      <c r="K53" s="93" t="s">
        <v>208</v>
      </c>
      <c r="L53" s="93" t="s">
        <v>236</v>
      </c>
      <c r="M53" s="93" t="s">
        <v>1198</v>
      </c>
      <c r="N53" s="93" t="s">
        <v>209</v>
      </c>
      <c r="O53" s="93">
        <v>2014</v>
      </c>
      <c r="P53" s="93" t="s">
        <v>203</v>
      </c>
      <c r="Q53" s="93" t="s">
        <v>204</v>
      </c>
      <c r="R53" s="93" t="s">
        <v>1199</v>
      </c>
      <c r="S53" s="93" t="s">
        <v>1200</v>
      </c>
      <c r="T53" s="93" t="s">
        <v>496</v>
      </c>
      <c r="U53" s="93" t="s">
        <v>1201</v>
      </c>
      <c r="V53" s="93" t="s">
        <v>200</v>
      </c>
      <c r="W53" s="93" t="s">
        <v>200</v>
      </c>
      <c r="X53" s="93">
        <v>11</v>
      </c>
      <c r="Y53" s="93">
        <v>11</v>
      </c>
      <c r="Z53" s="93">
        <v>11</v>
      </c>
      <c r="AA53" s="93" t="s">
        <v>204</v>
      </c>
      <c r="AB53" s="93">
        <v>108</v>
      </c>
      <c r="AC53" s="93" t="s">
        <v>209</v>
      </c>
      <c r="AD53" s="93" t="s">
        <v>209</v>
      </c>
      <c r="AE53" s="93">
        <v>20</v>
      </c>
      <c r="AF53" s="93">
        <v>66</v>
      </c>
      <c r="AG53" s="93" t="s">
        <v>209</v>
      </c>
      <c r="AH53" s="97" t="s">
        <v>1202</v>
      </c>
      <c r="AI53" s="5">
        <f t="shared" si="3"/>
        <v>1</v>
      </c>
      <c r="AJ53" s="93" t="s">
        <v>203</v>
      </c>
      <c r="AK53" s="93" t="s">
        <v>204</v>
      </c>
      <c r="AL53" s="93" t="s">
        <v>203</v>
      </c>
      <c r="AM53" s="93" t="s">
        <v>204</v>
      </c>
      <c r="AN53" s="93" t="s">
        <v>208</v>
      </c>
      <c r="AO53" s="93" t="s">
        <v>562</v>
      </c>
      <c r="AP53" s="93" t="s">
        <v>208</v>
      </c>
      <c r="AQ53" s="93" t="s">
        <v>203</v>
      </c>
      <c r="AR53" s="93" t="s">
        <v>203</v>
      </c>
      <c r="AS53" s="93" t="s">
        <v>203</v>
      </c>
      <c r="AT53" s="93" t="s">
        <v>203</v>
      </c>
      <c r="AU53" s="93" t="s">
        <v>209</v>
      </c>
      <c r="AV53" s="5" t="s">
        <v>209</v>
      </c>
      <c r="AW53" s="5" t="s">
        <v>204</v>
      </c>
      <c r="AX53" s="93" t="s">
        <v>209</v>
      </c>
      <c r="AY53" s="93" t="s">
        <v>204</v>
      </c>
      <c r="AZ53" s="93" t="s">
        <v>209</v>
      </c>
      <c r="BA53" s="93" t="s">
        <v>204</v>
      </c>
      <c r="BB53" s="93" t="s">
        <v>209</v>
      </c>
      <c r="BC53" s="93" t="s">
        <v>204</v>
      </c>
      <c r="BD53" s="93" t="s">
        <v>209</v>
      </c>
      <c r="BE53" s="93" t="s">
        <v>204</v>
      </c>
      <c r="BF53" s="93" t="s">
        <v>209</v>
      </c>
      <c r="BG53" s="93" t="s">
        <v>204</v>
      </c>
      <c r="BH53" s="93" t="s">
        <v>209</v>
      </c>
      <c r="BI53" s="93" t="s">
        <v>204</v>
      </c>
      <c r="BJ53" s="93" t="s">
        <v>209</v>
      </c>
      <c r="BK53" s="93" t="s">
        <v>204</v>
      </c>
      <c r="BL53" s="93" t="s">
        <v>214</v>
      </c>
      <c r="BM53" s="93" t="s">
        <v>1203</v>
      </c>
      <c r="BN53" s="93" t="s">
        <v>210</v>
      </c>
      <c r="BO53" s="93" t="s">
        <v>210</v>
      </c>
      <c r="BP53" s="93" t="s">
        <v>210</v>
      </c>
      <c r="BQ53" s="93" t="s">
        <v>210</v>
      </c>
      <c r="BR53" s="93" t="s">
        <v>210</v>
      </c>
      <c r="BS53" s="93" t="s">
        <v>210</v>
      </c>
      <c r="BT53" s="93" t="s">
        <v>210</v>
      </c>
      <c r="BU53" s="93" t="s">
        <v>204</v>
      </c>
      <c r="BV53" s="93">
        <f>COUNTIF(BN53:BT53, "yes")</f>
        <v>0</v>
      </c>
      <c r="BW53" s="93" t="s">
        <v>203</v>
      </c>
      <c r="BX53" s="93" t="s">
        <v>203</v>
      </c>
      <c r="BY53" s="93" t="s">
        <v>203</v>
      </c>
      <c r="BZ53" s="93" t="s">
        <v>204</v>
      </c>
      <c r="CA53" s="93">
        <f>COUNTIF(BW53:BY53, "yes")</f>
        <v>0</v>
      </c>
      <c r="CB53" s="93" t="s">
        <v>203</v>
      </c>
      <c r="CC53" s="93" t="s">
        <v>208</v>
      </c>
      <c r="CD53" s="93" t="s">
        <v>208</v>
      </c>
      <c r="CE53" s="93" t="s">
        <v>210</v>
      </c>
      <c r="CF53" s="80" t="s">
        <v>210</v>
      </c>
      <c r="CG53" s="5" t="s">
        <v>210</v>
      </c>
      <c r="CH53" s="5" t="s">
        <v>210</v>
      </c>
      <c r="CI53" s="5" t="s">
        <v>210</v>
      </c>
      <c r="CJ53" s="5" t="s">
        <v>204</v>
      </c>
      <c r="CK53" s="5">
        <f>COUNTIF(CB53:CI53, "yes")</f>
        <v>2</v>
      </c>
      <c r="CL53" s="5" t="s">
        <v>216</v>
      </c>
      <c r="CM53" s="5">
        <v>0</v>
      </c>
      <c r="CN53" s="5" t="s">
        <v>216</v>
      </c>
      <c r="CO53" s="5">
        <v>0</v>
      </c>
      <c r="CP53" s="5" t="s">
        <v>216</v>
      </c>
      <c r="CQ53" s="5">
        <v>0</v>
      </c>
      <c r="CR53" s="5" t="s">
        <v>216</v>
      </c>
      <c r="CS53" s="5">
        <v>0</v>
      </c>
      <c r="CT53" s="5" t="s">
        <v>216</v>
      </c>
      <c r="CU53" s="5">
        <v>0</v>
      </c>
      <c r="CV53" s="5" t="s">
        <v>216</v>
      </c>
      <c r="CW53" s="5">
        <v>0</v>
      </c>
      <c r="CX53" s="5" t="s">
        <v>217</v>
      </c>
      <c r="CY53" s="5">
        <v>11</v>
      </c>
      <c r="CZ53" s="5" t="s">
        <v>216</v>
      </c>
      <c r="DA53" s="5">
        <v>0</v>
      </c>
      <c r="DB53" s="5" t="s">
        <v>216</v>
      </c>
      <c r="DC53" s="5">
        <v>0</v>
      </c>
      <c r="DD53" s="5" t="s">
        <v>216</v>
      </c>
      <c r="DE53" s="5">
        <v>0</v>
      </c>
      <c r="DF53" s="5" t="s">
        <v>302</v>
      </c>
      <c r="DG53" s="5" t="s">
        <v>203</v>
      </c>
      <c r="DH53" s="5" t="s">
        <v>203</v>
      </c>
      <c r="DI53" s="5" t="s">
        <v>203</v>
      </c>
      <c r="DJ53" s="5" t="s">
        <v>203</v>
      </c>
      <c r="DK53" s="5" t="s">
        <v>203</v>
      </c>
      <c r="DL53" s="5" t="s">
        <v>203</v>
      </c>
      <c r="DM53" s="5" t="s">
        <v>203</v>
      </c>
      <c r="DN53" s="5" t="s">
        <v>204</v>
      </c>
      <c r="DO53" s="5" t="s">
        <v>210</v>
      </c>
      <c r="DP53" s="5" t="s">
        <v>219</v>
      </c>
      <c r="DQ53" s="5" t="s">
        <v>204</v>
      </c>
      <c r="DR53" s="5" t="s">
        <v>203</v>
      </c>
      <c r="DS53" s="5" t="s">
        <v>204</v>
      </c>
      <c r="DT53" s="5" t="s">
        <v>210</v>
      </c>
      <c r="DU53" s="5" t="s">
        <v>219</v>
      </c>
      <c r="DV53" s="5" t="s">
        <v>204</v>
      </c>
      <c r="DW53" s="5" t="s">
        <v>208</v>
      </c>
      <c r="DX53" s="5" t="s">
        <v>1080</v>
      </c>
      <c r="DY53" s="5" t="s">
        <v>1204</v>
      </c>
      <c r="DZ53" s="5" t="s">
        <v>221</v>
      </c>
      <c r="EA53" s="5" t="s">
        <v>1205</v>
      </c>
      <c r="EB53" s="5" t="s">
        <v>203</v>
      </c>
      <c r="EC53" s="5" t="s">
        <v>204</v>
      </c>
      <c r="ED53" s="5" t="s">
        <v>210</v>
      </c>
      <c r="EE53" s="5" t="s">
        <v>219</v>
      </c>
      <c r="EF53" s="5" t="s">
        <v>204</v>
      </c>
      <c r="EG53" s="5" t="s">
        <v>203</v>
      </c>
      <c r="EH53" s="5" t="s">
        <v>204</v>
      </c>
      <c r="EI53" s="5" t="s">
        <v>210</v>
      </c>
      <c r="EJ53" s="5" t="s">
        <v>219</v>
      </c>
      <c r="EK53" s="5" t="s">
        <v>204</v>
      </c>
      <c r="EL53" s="5" t="s">
        <v>203</v>
      </c>
      <c r="EM53" s="5" t="s">
        <v>204</v>
      </c>
      <c r="EN53" s="5" t="s">
        <v>210</v>
      </c>
      <c r="EO53" s="5" t="s">
        <v>219</v>
      </c>
      <c r="EP53" s="5" t="s">
        <v>204</v>
      </c>
      <c r="EQ53" s="5" t="s">
        <v>200</v>
      </c>
      <c r="ER53" s="5" t="s">
        <v>1206</v>
      </c>
      <c r="ES53" s="79" t="s">
        <v>1207</v>
      </c>
      <c r="ET53" s="20" t="s">
        <v>225</v>
      </c>
      <c r="EU53" s="5" t="s">
        <v>1208</v>
      </c>
      <c r="EV53" s="80" t="s">
        <v>371</v>
      </c>
      <c r="EW53" s="80" t="s">
        <v>371</v>
      </c>
      <c r="EX53" s="80" t="s">
        <v>371</v>
      </c>
      <c r="EY53" s="5" t="s">
        <v>227</v>
      </c>
      <c r="EZ53" s="5" t="s">
        <v>228</v>
      </c>
      <c r="FA53" s="5" t="s">
        <v>208</v>
      </c>
      <c r="FB53" s="5" t="s">
        <v>1209</v>
      </c>
      <c r="FC53" s="5" t="s">
        <v>208</v>
      </c>
      <c r="FD53" s="5" t="s">
        <v>315</v>
      </c>
      <c r="FE53" s="5">
        <f>AMSTAR!BG49</f>
        <v>14</v>
      </c>
      <c r="FF53" s="5">
        <f>AMSTAR!BF49</f>
        <v>6.5</v>
      </c>
      <c r="FG53" s="34">
        <f t="shared" si="1"/>
        <v>0.4642857142857143</v>
      </c>
    </row>
    <row r="54" spans="1:163">
      <c r="A54" s="5"/>
      <c r="B54" s="47">
        <v>5915</v>
      </c>
      <c r="C54" s="93" t="s">
        <v>1210</v>
      </c>
      <c r="D54" s="93">
        <v>2015</v>
      </c>
      <c r="E54" s="93" t="s">
        <v>1211</v>
      </c>
      <c r="F54" s="93" t="s">
        <v>233</v>
      </c>
      <c r="G54" s="98" t="s">
        <v>1212</v>
      </c>
      <c r="H54" s="93" t="s">
        <v>954</v>
      </c>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5">
        <f t="shared" si="3"/>
        <v>0</v>
      </c>
      <c r="AJ54" s="93" t="s">
        <v>956</v>
      </c>
      <c r="AK54" s="93"/>
      <c r="AL54" s="93" t="s">
        <v>1213</v>
      </c>
      <c r="AM54" s="93"/>
      <c r="AN54" s="93" t="s">
        <v>1213</v>
      </c>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t="s">
        <v>1214</v>
      </c>
      <c r="BN54" s="93"/>
      <c r="BO54" s="93" t="s">
        <v>956</v>
      </c>
      <c r="BP54" s="93" t="s">
        <v>956</v>
      </c>
      <c r="BQ54" s="93"/>
      <c r="BR54" s="93"/>
      <c r="BS54" s="93"/>
      <c r="BT54" s="93"/>
      <c r="BU54" s="93"/>
      <c r="BV54" s="93">
        <f>COUNTIF(BN54:BT54, "yes")</f>
        <v>0</v>
      </c>
      <c r="BW54" s="93" t="s">
        <v>203</v>
      </c>
      <c r="BX54" s="93" t="s">
        <v>203</v>
      </c>
      <c r="BY54" s="93" t="s">
        <v>203</v>
      </c>
      <c r="BZ54" s="93" t="s">
        <v>204</v>
      </c>
      <c r="CA54" s="93">
        <f>COUNTIF(BW54:BY54, "yes")</f>
        <v>0</v>
      </c>
      <c r="CB54" s="93"/>
      <c r="CC54" s="93"/>
      <c r="CD54" s="93"/>
      <c r="CE54" s="93"/>
      <c r="CF54" s="80"/>
      <c r="CG54" s="5"/>
      <c r="CH54" s="5"/>
      <c r="CI54" s="5"/>
      <c r="CJ54" s="5"/>
      <c r="CK54" s="5">
        <f>COUNTIF(CB54:CI54, "yes")</f>
        <v>0</v>
      </c>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t="s">
        <v>956</v>
      </c>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79"/>
      <c r="ET54" s="20"/>
      <c r="EU54" s="5"/>
      <c r="EV54" s="80"/>
      <c r="EW54" s="80"/>
      <c r="EX54" s="80"/>
      <c r="EY54" s="5"/>
      <c r="EZ54" s="5"/>
      <c r="FA54" s="5"/>
      <c r="FB54" s="5"/>
      <c r="FC54" s="5"/>
      <c r="FD54" s="5"/>
      <c r="FE54" s="5"/>
      <c r="FF54" s="5"/>
      <c r="FG54" s="34"/>
    </row>
    <row r="55" spans="1:163">
      <c r="A55" s="5"/>
      <c r="B55" s="47">
        <v>35011</v>
      </c>
      <c r="C55" s="93" t="s">
        <v>1210</v>
      </c>
      <c r="D55" s="93">
        <v>2017</v>
      </c>
      <c r="E55" s="93" t="s">
        <v>1215</v>
      </c>
      <c r="F55" s="93" t="s">
        <v>381</v>
      </c>
      <c r="G55" s="93" t="s">
        <v>1216</v>
      </c>
      <c r="H55" s="93" t="s">
        <v>1217</v>
      </c>
      <c r="I55" s="93">
        <v>17</v>
      </c>
      <c r="J55" s="93" t="s">
        <v>1218</v>
      </c>
      <c r="K55" s="93" t="s">
        <v>208</v>
      </c>
      <c r="L55" s="93" t="s">
        <v>201</v>
      </c>
      <c r="M55" s="93" t="s">
        <v>1219</v>
      </c>
      <c r="N55" s="93" t="s">
        <v>202</v>
      </c>
      <c r="O55" s="93">
        <v>2017</v>
      </c>
      <c r="P55" s="93" t="s">
        <v>208</v>
      </c>
      <c r="Q55" s="93" t="s">
        <v>1220</v>
      </c>
      <c r="R55" s="93" t="s">
        <v>1221</v>
      </c>
      <c r="S55" s="93" t="s">
        <v>302</v>
      </c>
      <c r="T55" s="93" t="s">
        <v>207</v>
      </c>
      <c r="U55" s="93" t="s">
        <v>204</v>
      </c>
      <c r="V55" s="93" t="s">
        <v>208</v>
      </c>
      <c r="W55" s="93" t="s">
        <v>208</v>
      </c>
      <c r="X55" s="93">
        <v>0</v>
      </c>
      <c r="Y55" s="93">
        <v>0</v>
      </c>
      <c r="Z55" s="93">
        <v>0</v>
      </c>
      <c r="AA55" s="93" t="s">
        <v>1222</v>
      </c>
      <c r="AB55" s="93">
        <v>0</v>
      </c>
      <c r="AC55" s="93">
        <v>0</v>
      </c>
      <c r="AD55" s="93">
        <v>0</v>
      </c>
      <c r="AE55" s="93" t="s">
        <v>204</v>
      </c>
      <c r="AF55" s="93" t="s">
        <v>204</v>
      </c>
      <c r="AG55" s="93" t="s">
        <v>204</v>
      </c>
      <c r="AH55" s="93" t="s">
        <v>204</v>
      </c>
      <c r="AI55" s="5">
        <f t="shared" si="3"/>
        <v>1</v>
      </c>
      <c r="AJ55" s="93" t="s">
        <v>208</v>
      </c>
      <c r="AK55" s="93" t="s">
        <v>204</v>
      </c>
      <c r="AL55" s="93" t="s">
        <v>203</v>
      </c>
      <c r="AM55" s="93" t="s">
        <v>204</v>
      </c>
      <c r="AN55" s="93" t="s">
        <v>203</v>
      </c>
      <c r="AO55" s="93" t="s">
        <v>204</v>
      </c>
      <c r="AP55" s="93" t="s">
        <v>204</v>
      </c>
      <c r="AQ55" s="93" t="s">
        <v>204</v>
      </c>
      <c r="AR55" s="93" t="s">
        <v>204</v>
      </c>
      <c r="AS55" s="93" t="s">
        <v>204</v>
      </c>
      <c r="AT55" s="93" t="s">
        <v>204</v>
      </c>
      <c r="AU55" s="93">
        <v>0</v>
      </c>
      <c r="AV55" s="5">
        <v>0</v>
      </c>
      <c r="AW55" s="5" t="s">
        <v>204</v>
      </c>
      <c r="AX55" s="93">
        <v>0</v>
      </c>
      <c r="AY55" s="93" t="s">
        <v>204</v>
      </c>
      <c r="AZ55" s="93">
        <v>0</v>
      </c>
      <c r="BA55" s="93" t="s">
        <v>204</v>
      </c>
      <c r="BB55" s="93">
        <v>0</v>
      </c>
      <c r="BC55" s="93" t="s">
        <v>204</v>
      </c>
      <c r="BD55" s="93">
        <v>0</v>
      </c>
      <c r="BE55" s="93" t="s">
        <v>204</v>
      </c>
      <c r="BF55" s="93">
        <v>0</v>
      </c>
      <c r="BG55" s="93" t="s">
        <v>204</v>
      </c>
      <c r="BH55" s="93">
        <v>0</v>
      </c>
      <c r="BI55" s="93" t="s">
        <v>204</v>
      </c>
      <c r="BJ55" s="93">
        <v>0</v>
      </c>
      <c r="BK55" s="93" t="s">
        <v>204</v>
      </c>
      <c r="BL55" s="93" t="s">
        <v>328</v>
      </c>
      <c r="BM55" s="93" t="s">
        <v>1223</v>
      </c>
      <c r="BN55" s="93" t="s">
        <v>203</v>
      </c>
      <c r="BO55" s="93" t="s">
        <v>200</v>
      </c>
      <c r="BP55" s="93" t="s">
        <v>203</v>
      </c>
      <c r="BQ55" s="93" t="s">
        <v>208</v>
      </c>
      <c r="BR55" s="93" t="s">
        <v>203</v>
      </c>
      <c r="BS55" s="93" t="s">
        <v>203</v>
      </c>
      <c r="BT55" s="93" t="s">
        <v>203</v>
      </c>
      <c r="BU55" s="93" t="s">
        <v>204</v>
      </c>
      <c r="BV55" s="93">
        <f>COUNTIF(BN55:BT55, "yes")</f>
        <v>2</v>
      </c>
      <c r="BW55" s="93" t="s">
        <v>203</v>
      </c>
      <c r="BX55" s="93" t="s">
        <v>203</v>
      </c>
      <c r="BY55" s="93" t="s">
        <v>203</v>
      </c>
      <c r="BZ55" s="93" t="s">
        <v>204</v>
      </c>
      <c r="CA55" s="93">
        <f>COUNTIF(BW55:BY55, "yes")</f>
        <v>0</v>
      </c>
      <c r="CB55" s="93" t="s">
        <v>210</v>
      </c>
      <c r="CC55" s="93" t="s">
        <v>210</v>
      </c>
      <c r="CD55" s="93" t="s">
        <v>210</v>
      </c>
      <c r="CE55" s="93" t="s">
        <v>210</v>
      </c>
      <c r="CF55" s="93" t="s">
        <v>210</v>
      </c>
      <c r="CG55" s="93" t="s">
        <v>210</v>
      </c>
      <c r="CH55" s="93" t="s">
        <v>210</v>
      </c>
      <c r="CI55" s="93" t="s">
        <v>210</v>
      </c>
      <c r="CJ55" s="5" t="s">
        <v>204</v>
      </c>
      <c r="CK55" s="5">
        <f>COUNTIF(CB55:CI55, "yes")</f>
        <v>0</v>
      </c>
      <c r="CL55" s="5" t="s">
        <v>216</v>
      </c>
      <c r="CM55" s="5">
        <v>0</v>
      </c>
      <c r="CN55" s="5" t="s">
        <v>217</v>
      </c>
      <c r="CO55" s="5">
        <v>0</v>
      </c>
      <c r="CP55" s="5" t="s">
        <v>216</v>
      </c>
      <c r="CQ55" s="5">
        <v>0</v>
      </c>
      <c r="CR55" s="5" t="s">
        <v>216</v>
      </c>
      <c r="CS55" s="5">
        <v>0</v>
      </c>
      <c r="CT55" s="5" t="s">
        <v>216</v>
      </c>
      <c r="CU55" s="5">
        <v>0</v>
      </c>
      <c r="CV55" s="5" t="s">
        <v>216</v>
      </c>
      <c r="CW55" s="5">
        <v>0</v>
      </c>
      <c r="CX55" s="5" t="s">
        <v>216</v>
      </c>
      <c r="CY55" s="5">
        <v>0</v>
      </c>
      <c r="CZ55" s="5" t="s">
        <v>216</v>
      </c>
      <c r="DA55" s="5">
        <v>0</v>
      </c>
      <c r="DB55" s="5" t="s">
        <v>216</v>
      </c>
      <c r="DC55" s="5">
        <v>0</v>
      </c>
      <c r="DD55" s="5" t="s">
        <v>216</v>
      </c>
      <c r="DE55" s="5">
        <v>0</v>
      </c>
      <c r="DF55" s="5" t="s">
        <v>204</v>
      </c>
      <c r="DG55" s="5" t="s">
        <v>210</v>
      </c>
      <c r="DH55" s="5" t="s">
        <v>210</v>
      </c>
      <c r="DI55" s="5" t="s">
        <v>210</v>
      </c>
      <c r="DJ55" s="5" t="s">
        <v>210</v>
      </c>
      <c r="DK55" s="5" t="s">
        <v>210</v>
      </c>
      <c r="DL55" s="5" t="s">
        <v>210</v>
      </c>
      <c r="DM55" s="5" t="s">
        <v>203</v>
      </c>
      <c r="DN55" s="5" t="s">
        <v>204</v>
      </c>
      <c r="DO55" s="5" t="s">
        <v>210</v>
      </c>
      <c r="DP55" s="5" t="s">
        <v>219</v>
      </c>
      <c r="DQ55" s="5" t="s">
        <v>204</v>
      </c>
      <c r="DR55" s="5" t="s">
        <v>203</v>
      </c>
      <c r="DS55" s="5" t="s">
        <v>204</v>
      </c>
      <c r="DT55" s="5" t="s">
        <v>210</v>
      </c>
      <c r="DU55" s="5" t="s">
        <v>219</v>
      </c>
      <c r="DV55" s="5" t="s">
        <v>204</v>
      </c>
      <c r="DW55" s="5" t="s">
        <v>203</v>
      </c>
      <c r="DX55" s="5" t="s">
        <v>204</v>
      </c>
      <c r="DY55" s="5" t="s">
        <v>210</v>
      </c>
      <c r="DZ55" s="5" t="s">
        <v>219</v>
      </c>
      <c r="EA55" s="5" t="s">
        <v>204</v>
      </c>
      <c r="EB55" s="5" t="s">
        <v>203</v>
      </c>
      <c r="EC55" s="5" t="s">
        <v>204</v>
      </c>
      <c r="ED55" s="5" t="s">
        <v>210</v>
      </c>
      <c r="EE55" s="5" t="s">
        <v>219</v>
      </c>
      <c r="EF55" s="5" t="s">
        <v>204</v>
      </c>
      <c r="EG55" s="5" t="s">
        <v>203</v>
      </c>
      <c r="EH55" s="5" t="s">
        <v>204</v>
      </c>
      <c r="EI55" s="5" t="s">
        <v>210</v>
      </c>
      <c r="EJ55" s="5" t="s">
        <v>219</v>
      </c>
      <c r="EK55" s="5" t="s">
        <v>204</v>
      </c>
      <c r="EL55" s="5" t="s">
        <v>203</v>
      </c>
      <c r="EM55" s="5" t="s">
        <v>204</v>
      </c>
      <c r="EN55" s="5" t="s">
        <v>210</v>
      </c>
      <c r="EO55" s="5" t="s">
        <v>219</v>
      </c>
      <c r="EP55" s="5" t="s">
        <v>204</v>
      </c>
      <c r="EQ55" s="5" t="s">
        <v>208</v>
      </c>
      <c r="ER55" s="5" t="s">
        <v>1224</v>
      </c>
      <c r="ES55" s="79" t="s">
        <v>204</v>
      </c>
      <c r="ET55" s="20" t="s">
        <v>219</v>
      </c>
      <c r="EU55" s="5" t="s">
        <v>204</v>
      </c>
      <c r="EV55" s="80" t="s">
        <v>371</v>
      </c>
      <c r="EW55" s="80" t="s">
        <v>371</v>
      </c>
      <c r="EX55" s="80" t="s">
        <v>371</v>
      </c>
      <c r="EY55" s="5" t="s">
        <v>227</v>
      </c>
      <c r="EZ55" s="5" t="s">
        <v>420</v>
      </c>
      <c r="FA55" s="5" t="s">
        <v>200</v>
      </c>
      <c r="FB55" s="5" t="s">
        <v>1225</v>
      </c>
      <c r="FC55" s="5" t="s">
        <v>200</v>
      </c>
      <c r="FD55" s="5" t="s">
        <v>204</v>
      </c>
      <c r="FE55" s="5"/>
      <c r="FF55" s="5"/>
      <c r="FG55" s="34"/>
    </row>
    <row r="56" spans="1:163">
      <c r="A56" s="5"/>
      <c r="B56" s="47">
        <v>10474</v>
      </c>
      <c r="C56" s="93" t="s">
        <v>1226</v>
      </c>
      <c r="D56" s="93">
        <v>2019</v>
      </c>
      <c r="E56" s="93" t="s">
        <v>1227</v>
      </c>
      <c r="F56" s="93" t="s">
        <v>233</v>
      </c>
      <c r="G56" s="93" t="s">
        <v>1228</v>
      </c>
      <c r="H56" s="93" t="s">
        <v>198</v>
      </c>
      <c r="I56" s="93">
        <v>4</v>
      </c>
      <c r="J56" s="93" t="s">
        <v>1229</v>
      </c>
      <c r="K56" s="93" t="s">
        <v>208</v>
      </c>
      <c r="L56" s="93" t="s">
        <v>236</v>
      </c>
      <c r="M56" s="93" t="s">
        <v>209</v>
      </c>
      <c r="N56" s="93">
        <v>1970</v>
      </c>
      <c r="O56" s="93">
        <v>2018</v>
      </c>
      <c r="P56" s="93" t="s">
        <v>200</v>
      </c>
      <c r="Q56" s="93" t="s">
        <v>1230</v>
      </c>
      <c r="R56" s="93" t="s">
        <v>1231</v>
      </c>
      <c r="S56" s="93" t="s">
        <v>1232</v>
      </c>
      <c r="T56" s="93" t="s">
        <v>241</v>
      </c>
      <c r="U56" s="93" t="s">
        <v>1233</v>
      </c>
      <c r="V56" s="93" t="s">
        <v>208</v>
      </c>
      <c r="W56" s="93" t="s">
        <v>203</v>
      </c>
      <c r="X56" s="93">
        <v>7</v>
      </c>
      <c r="Y56" s="93">
        <v>7</v>
      </c>
      <c r="Z56" s="93">
        <v>4</v>
      </c>
      <c r="AA56" s="93" t="s">
        <v>1234</v>
      </c>
      <c r="AB56" s="93">
        <v>221</v>
      </c>
      <c r="AC56" s="93">
        <v>162</v>
      </c>
      <c r="AD56" s="93">
        <v>55</v>
      </c>
      <c r="AE56" s="93">
        <v>14</v>
      </c>
      <c r="AF56" s="93">
        <v>55</v>
      </c>
      <c r="AG56" s="93" t="s">
        <v>1235</v>
      </c>
      <c r="AH56" s="93" t="s">
        <v>204</v>
      </c>
      <c r="AI56" s="5">
        <f t="shared" si="3"/>
        <v>2</v>
      </c>
      <c r="AJ56" s="93" t="s">
        <v>208</v>
      </c>
      <c r="AK56" s="93" t="s">
        <v>1236</v>
      </c>
      <c r="AL56" s="93" t="s">
        <v>208</v>
      </c>
      <c r="AM56" s="93" t="s">
        <v>1237</v>
      </c>
      <c r="AN56" s="93" t="s">
        <v>203</v>
      </c>
      <c r="AO56" s="93" t="s">
        <v>204</v>
      </c>
      <c r="AP56" s="93" t="s">
        <v>204</v>
      </c>
      <c r="AQ56" s="93" t="s">
        <v>204</v>
      </c>
      <c r="AR56" s="93" t="s">
        <v>204</v>
      </c>
      <c r="AS56" s="93" t="s">
        <v>204</v>
      </c>
      <c r="AT56" s="93" t="s">
        <v>204</v>
      </c>
      <c r="AU56" s="93" t="s">
        <v>209</v>
      </c>
      <c r="AV56" s="5" t="s">
        <v>209</v>
      </c>
      <c r="AW56" s="5" t="s">
        <v>204</v>
      </c>
      <c r="AX56" s="93" t="s">
        <v>209</v>
      </c>
      <c r="AY56" s="93" t="s">
        <v>204</v>
      </c>
      <c r="AZ56" s="93" t="s">
        <v>209</v>
      </c>
      <c r="BA56" s="93" t="s">
        <v>204</v>
      </c>
      <c r="BB56" s="93" t="s">
        <v>209</v>
      </c>
      <c r="BC56" s="93" t="s">
        <v>204</v>
      </c>
      <c r="BD56" s="93" t="s">
        <v>209</v>
      </c>
      <c r="BE56" s="93" t="s">
        <v>204</v>
      </c>
      <c r="BF56" s="93" t="s">
        <v>209</v>
      </c>
      <c r="BG56" s="93" t="s">
        <v>204</v>
      </c>
      <c r="BH56" s="93" t="s">
        <v>209</v>
      </c>
      <c r="BI56" s="93" t="s">
        <v>204</v>
      </c>
      <c r="BJ56" s="93" t="s">
        <v>209</v>
      </c>
      <c r="BK56" s="93" t="s">
        <v>204</v>
      </c>
      <c r="BL56" s="93" t="s">
        <v>328</v>
      </c>
      <c r="BM56" s="93" t="s">
        <v>1238</v>
      </c>
      <c r="BN56" s="93" t="s">
        <v>203</v>
      </c>
      <c r="BO56" s="93" t="s">
        <v>208</v>
      </c>
      <c r="BP56" s="93" t="s">
        <v>203</v>
      </c>
      <c r="BQ56" s="93" t="s">
        <v>203</v>
      </c>
      <c r="BR56" s="93" t="s">
        <v>203</v>
      </c>
      <c r="BS56" s="93" t="s">
        <v>208</v>
      </c>
      <c r="BT56" s="93" t="s">
        <v>203</v>
      </c>
      <c r="BU56" s="93" t="s">
        <v>204</v>
      </c>
      <c r="BV56" s="93">
        <f>COUNTIF(BN56:BT56, "yes")</f>
        <v>2</v>
      </c>
      <c r="BW56" s="93" t="s">
        <v>203</v>
      </c>
      <c r="BX56" s="93" t="s">
        <v>203</v>
      </c>
      <c r="BY56" s="93" t="s">
        <v>203</v>
      </c>
      <c r="BZ56" s="93" t="s">
        <v>204</v>
      </c>
      <c r="CA56" s="93">
        <f>COUNTIF(BW56:BY56, "yes")</f>
        <v>0</v>
      </c>
      <c r="CB56" s="93" t="s">
        <v>203</v>
      </c>
      <c r="CC56" s="93" t="s">
        <v>203</v>
      </c>
      <c r="CD56" s="93" t="s">
        <v>200</v>
      </c>
      <c r="CE56" s="93" t="s">
        <v>203</v>
      </c>
      <c r="CF56" s="93" t="s">
        <v>203</v>
      </c>
      <c r="CG56" s="93" t="s">
        <v>210</v>
      </c>
      <c r="CH56" s="93" t="s">
        <v>203</v>
      </c>
      <c r="CI56" s="93" t="s">
        <v>203</v>
      </c>
      <c r="CJ56" s="5" t="s">
        <v>204</v>
      </c>
      <c r="CK56" s="5">
        <f>COUNTIF(CB56:CI56, "yes")</f>
        <v>1</v>
      </c>
      <c r="CL56" s="5" t="s">
        <v>216</v>
      </c>
      <c r="CM56" s="5">
        <v>0</v>
      </c>
      <c r="CN56" s="5" t="s">
        <v>217</v>
      </c>
      <c r="CO56" s="5">
        <v>1</v>
      </c>
      <c r="CP56" s="5" t="s">
        <v>217</v>
      </c>
      <c r="CQ56" s="5">
        <v>1</v>
      </c>
      <c r="CR56" s="5" t="s">
        <v>217</v>
      </c>
      <c r="CS56" s="5">
        <v>2</v>
      </c>
      <c r="CT56" s="5" t="s">
        <v>251</v>
      </c>
      <c r="CU56" s="5">
        <v>0</v>
      </c>
      <c r="CV56" s="5" t="s">
        <v>251</v>
      </c>
      <c r="CW56" s="5">
        <v>0</v>
      </c>
      <c r="CX56" s="5" t="s">
        <v>251</v>
      </c>
      <c r="CY56" s="5">
        <v>0</v>
      </c>
      <c r="CZ56" s="5" t="s">
        <v>251</v>
      </c>
      <c r="DA56" s="5">
        <v>0</v>
      </c>
      <c r="DB56" s="5" t="s">
        <v>216</v>
      </c>
      <c r="DC56" s="5">
        <v>0</v>
      </c>
      <c r="DD56" s="5" t="s">
        <v>216</v>
      </c>
      <c r="DE56" s="5" t="s">
        <v>204</v>
      </c>
      <c r="DF56" s="5" t="s">
        <v>261</v>
      </c>
      <c r="DG56" s="5" t="s">
        <v>203</v>
      </c>
      <c r="DH56" s="5" t="s">
        <v>208</v>
      </c>
      <c r="DI56" s="5" t="s">
        <v>254</v>
      </c>
      <c r="DJ56" s="5" t="s">
        <v>254</v>
      </c>
      <c r="DK56" s="5" t="s">
        <v>254</v>
      </c>
      <c r="DL56" s="5" t="s">
        <v>254</v>
      </c>
      <c r="DM56" s="5" t="s">
        <v>208</v>
      </c>
      <c r="DN56" s="5" t="s">
        <v>1239</v>
      </c>
      <c r="DO56" s="5" t="s">
        <v>210</v>
      </c>
      <c r="DP56" s="5" t="s">
        <v>221</v>
      </c>
      <c r="DQ56" s="5" t="s">
        <v>1240</v>
      </c>
      <c r="DR56" s="5" t="s">
        <v>203</v>
      </c>
      <c r="DS56" s="5" t="s">
        <v>204</v>
      </c>
      <c r="DT56" s="5" t="s">
        <v>210</v>
      </c>
      <c r="DU56" s="5" t="s">
        <v>219</v>
      </c>
      <c r="DV56" s="5" t="s">
        <v>204</v>
      </c>
      <c r="DW56" s="5" t="s">
        <v>200</v>
      </c>
      <c r="DX56" s="5" t="s">
        <v>1241</v>
      </c>
      <c r="DY56" s="5" t="s">
        <v>210</v>
      </c>
      <c r="DZ56" s="5" t="s">
        <v>254</v>
      </c>
      <c r="EA56" s="5" t="s">
        <v>1242</v>
      </c>
      <c r="EB56" s="5" t="s">
        <v>203</v>
      </c>
      <c r="EC56" s="5" t="s">
        <v>204</v>
      </c>
      <c r="ED56" s="5" t="s">
        <v>210</v>
      </c>
      <c r="EE56" s="5" t="s">
        <v>219</v>
      </c>
      <c r="EF56" s="5" t="s">
        <v>204</v>
      </c>
      <c r="EG56" s="5" t="s">
        <v>203</v>
      </c>
      <c r="EH56" s="5" t="s">
        <v>204</v>
      </c>
      <c r="EI56" s="5" t="s">
        <v>210</v>
      </c>
      <c r="EJ56" s="5" t="s">
        <v>219</v>
      </c>
      <c r="EK56" s="5" t="s">
        <v>204</v>
      </c>
      <c r="EL56" s="5" t="s">
        <v>203</v>
      </c>
      <c r="EM56" s="5" t="s">
        <v>204</v>
      </c>
      <c r="EN56" s="5" t="s">
        <v>210</v>
      </c>
      <c r="EO56" s="5" t="s">
        <v>219</v>
      </c>
      <c r="EP56" s="5" t="s">
        <v>204</v>
      </c>
      <c r="EQ56" s="5" t="s">
        <v>200</v>
      </c>
      <c r="ER56" s="5" t="s">
        <v>1243</v>
      </c>
      <c r="ES56" s="79" t="s">
        <v>1244</v>
      </c>
      <c r="ET56" s="20" t="s">
        <v>292</v>
      </c>
      <c r="EU56" s="5" t="s">
        <v>1245</v>
      </c>
      <c r="EV56" s="80" t="s">
        <v>204</v>
      </c>
      <c r="EW56" s="80" t="s">
        <v>204</v>
      </c>
      <c r="EX56" s="80" t="s">
        <v>204</v>
      </c>
      <c r="EY56" s="5" t="s">
        <v>262</v>
      </c>
      <c r="EZ56" s="5" t="s">
        <v>420</v>
      </c>
      <c r="FA56" s="5" t="s">
        <v>208</v>
      </c>
      <c r="FB56" s="5" t="s">
        <v>302</v>
      </c>
      <c r="FC56" s="5" t="s">
        <v>203</v>
      </c>
      <c r="FD56" s="5" t="s">
        <v>204</v>
      </c>
      <c r="FE56" s="5">
        <f>AMSTAR!BG50</f>
        <v>13</v>
      </c>
      <c r="FF56" s="5">
        <f>AMSTAR!BF50</f>
        <v>3</v>
      </c>
      <c r="FG56" s="34">
        <f t="shared" si="1"/>
        <v>0.23076923076923078</v>
      </c>
    </row>
    <row r="57" spans="1:163">
      <c r="A57" s="5"/>
      <c r="B57" s="47">
        <v>8166</v>
      </c>
      <c r="C57" s="93" t="s">
        <v>1246</v>
      </c>
      <c r="D57" s="93">
        <v>2017</v>
      </c>
      <c r="E57" s="93" t="s">
        <v>1247</v>
      </c>
      <c r="F57" s="93" t="s">
        <v>233</v>
      </c>
      <c r="G57" s="93" t="s">
        <v>1248</v>
      </c>
      <c r="H57" s="93" t="s">
        <v>198</v>
      </c>
      <c r="I57" s="93">
        <v>5</v>
      </c>
      <c r="J57" s="93" t="s">
        <v>1249</v>
      </c>
      <c r="K57" s="93" t="s">
        <v>200</v>
      </c>
      <c r="L57" s="93" t="s">
        <v>236</v>
      </c>
      <c r="M57" s="93" t="s">
        <v>1250</v>
      </c>
      <c r="N57" s="93" t="s">
        <v>202</v>
      </c>
      <c r="O57" s="93">
        <v>2015</v>
      </c>
      <c r="P57" s="93" t="s">
        <v>208</v>
      </c>
      <c r="Q57" s="93" t="s">
        <v>1251</v>
      </c>
      <c r="R57" s="93" t="s">
        <v>1252</v>
      </c>
      <c r="S57" s="93" t="s">
        <v>1253</v>
      </c>
      <c r="T57" s="93" t="s">
        <v>207</v>
      </c>
      <c r="U57" s="93" t="s">
        <v>1254</v>
      </c>
      <c r="V57" s="93" t="s">
        <v>200</v>
      </c>
      <c r="W57" s="93" t="s">
        <v>200</v>
      </c>
      <c r="X57" s="93">
        <v>46</v>
      </c>
      <c r="Y57" s="93">
        <v>46</v>
      </c>
      <c r="Z57" s="93">
        <v>18</v>
      </c>
      <c r="AA57" s="93" t="s">
        <v>1255</v>
      </c>
      <c r="AB57" s="93">
        <v>1824</v>
      </c>
      <c r="AC57" s="93">
        <v>1290</v>
      </c>
      <c r="AD57" s="93">
        <v>208</v>
      </c>
      <c r="AE57" s="93">
        <v>12</v>
      </c>
      <c r="AF57" s="93">
        <v>50</v>
      </c>
      <c r="AG57" s="93" t="s">
        <v>1256</v>
      </c>
      <c r="AH57" s="93" t="s">
        <v>1257</v>
      </c>
      <c r="AI57" s="5">
        <f t="shared" si="3"/>
        <v>1</v>
      </c>
      <c r="AJ57" s="93" t="s">
        <v>203</v>
      </c>
      <c r="AK57" s="93" t="s">
        <v>204</v>
      </c>
      <c r="AL57" s="93" t="s">
        <v>208</v>
      </c>
      <c r="AM57" s="93" t="s">
        <v>1258</v>
      </c>
      <c r="AN57" s="93" t="s">
        <v>210</v>
      </c>
      <c r="AO57" s="93" t="s">
        <v>204</v>
      </c>
      <c r="AP57" s="93" t="s">
        <v>371</v>
      </c>
      <c r="AQ57" s="93" t="s">
        <v>371</v>
      </c>
      <c r="AR57" s="93" t="s">
        <v>371</v>
      </c>
      <c r="AS57" s="93" t="s">
        <v>371</v>
      </c>
      <c r="AT57" s="93" t="s">
        <v>371</v>
      </c>
      <c r="AU57" s="93">
        <v>0</v>
      </c>
      <c r="AV57" s="93">
        <v>0</v>
      </c>
      <c r="AW57" s="93" t="s">
        <v>204</v>
      </c>
      <c r="AX57" s="93">
        <v>5</v>
      </c>
      <c r="AY57" s="93" t="s">
        <v>1259</v>
      </c>
      <c r="AZ57" s="93">
        <v>2</v>
      </c>
      <c r="BA57" s="93" t="s">
        <v>1260</v>
      </c>
      <c r="BB57" s="93">
        <v>11</v>
      </c>
      <c r="BC57" s="93" t="s">
        <v>1261</v>
      </c>
      <c r="BD57" s="93">
        <v>0</v>
      </c>
      <c r="BE57" s="93" t="s">
        <v>204</v>
      </c>
      <c r="BF57" s="93">
        <v>0</v>
      </c>
      <c r="BG57" s="93" t="s">
        <v>204</v>
      </c>
      <c r="BH57" s="93">
        <v>0</v>
      </c>
      <c r="BI57" s="93" t="s">
        <v>204</v>
      </c>
      <c r="BJ57" s="93">
        <v>0</v>
      </c>
      <c r="BK57" s="93" t="s">
        <v>204</v>
      </c>
      <c r="BL57" s="93" t="s">
        <v>214</v>
      </c>
      <c r="BM57" s="93" t="s">
        <v>1262</v>
      </c>
      <c r="BN57" s="93" t="s">
        <v>203</v>
      </c>
      <c r="BO57" s="93" t="s">
        <v>203</v>
      </c>
      <c r="BP57" s="93" t="s">
        <v>203</v>
      </c>
      <c r="BQ57" s="93" t="s">
        <v>203</v>
      </c>
      <c r="BR57" s="93" t="s">
        <v>203</v>
      </c>
      <c r="BS57" s="93" t="s">
        <v>203</v>
      </c>
      <c r="BT57" s="93" t="s">
        <v>203</v>
      </c>
      <c r="BU57" s="93" t="s">
        <v>204</v>
      </c>
      <c r="BV57" s="93">
        <f>COUNTIF(BN57:BT57, "yes")</f>
        <v>0</v>
      </c>
      <c r="BW57" s="93" t="s">
        <v>203</v>
      </c>
      <c r="BX57" s="93" t="s">
        <v>203</v>
      </c>
      <c r="BY57" s="93" t="s">
        <v>203</v>
      </c>
      <c r="BZ57" s="93" t="s">
        <v>204</v>
      </c>
      <c r="CA57" s="93">
        <f>COUNTIF(BW57:BY57, "yes")</f>
        <v>0</v>
      </c>
      <c r="CB57" s="93" t="s">
        <v>203</v>
      </c>
      <c r="CC57" s="93" t="s">
        <v>208</v>
      </c>
      <c r="CD57" s="93" t="s">
        <v>208</v>
      </c>
      <c r="CE57" s="93" t="s">
        <v>210</v>
      </c>
      <c r="CF57" s="80" t="s">
        <v>210</v>
      </c>
      <c r="CG57" s="5" t="s">
        <v>210</v>
      </c>
      <c r="CH57" s="5" t="s">
        <v>210</v>
      </c>
      <c r="CI57" s="5" t="s">
        <v>210</v>
      </c>
      <c r="CJ57" s="5" t="s">
        <v>204</v>
      </c>
      <c r="CK57" s="5">
        <f>COUNTIF(CB57:CI57, "yes")</f>
        <v>2</v>
      </c>
      <c r="CL57" s="5" t="s">
        <v>216</v>
      </c>
      <c r="CM57" s="5">
        <v>0</v>
      </c>
      <c r="CN57" s="5" t="s">
        <v>251</v>
      </c>
      <c r="CO57" s="5">
        <v>0</v>
      </c>
      <c r="CP57" s="5" t="s">
        <v>217</v>
      </c>
      <c r="CQ57" s="5">
        <v>3</v>
      </c>
      <c r="CR57" s="5" t="s">
        <v>251</v>
      </c>
      <c r="CS57" s="5">
        <v>0</v>
      </c>
      <c r="CT57" s="5" t="s">
        <v>217</v>
      </c>
      <c r="CU57" s="5">
        <v>6</v>
      </c>
      <c r="CV57" s="5" t="s">
        <v>217</v>
      </c>
      <c r="CW57" s="5">
        <v>2</v>
      </c>
      <c r="CX57" s="5" t="s">
        <v>217</v>
      </c>
      <c r="CY57" s="5">
        <v>7</v>
      </c>
      <c r="CZ57" s="5" t="s">
        <v>251</v>
      </c>
      <c r="DA57" s="5">
        <v>0</v>
      </c>
      <c r="DB57" s="5" t="s">
        <v>216</v>
      </c>
      <c r="DC57" s="5">
        <v>0</v>
      </c>
      <c r="DD57" s="5" t="s">
        <v>216</v>
      </c>
      <c r="DE57" s="5" t="s">
        <v>204</v>
      </c>
      <c r="DF57" s="5" t="s">
        <v>1263</v>
      </c>
      <c r="DG57" s="5" t="s">
        <v>203</v>
      </c>
      <c r="DH57" s="5" t="s">
        <v>208</v>
      </c>
      <c r="DI57" s="5" t="s">
        <v>203</v>
      </c>
      <c r="DJ57" s="5" t="s">
        <v>203</v>
      </c>
      <c r="DK57" s="5" t="s">
        <v>203</v>
      </c>
      <c r="DL57" s="5" t="s">
        <v>203</v>
      </c>
      <c r="DM57" s="5" t="s">
        <v>208</v>
      </c>
      <c r="DN57" s="5" t="s">
        <v>1264</v>
      </c>
      <c r="DO57" s="5" t="s">
        <v>210</v>
      </c>
      <c r="DP57" s="5" t="s">
        <v>221</v>
      </c>
      <c r="DQ57" s="5" t="s">
        <v>1265</v>
      </c>
      <c r="DR57" s="5" t="s">
        <v>203</v>
      </c>
      <c r="DS57" s="5" t="s">
        <v>204</v>
      </c>
      <c r="DT57" s="5" t="s">
        <v>210</v>
      </c>
      <c r="DU57" s="5" t="s">
        <v>219</v>
      </c>
      <c r="DV57" s="5" t="s">
        <v>204</v>
      </c>
      <c r="DW57" s="5" t="s">
        <v>200</v>
      </c>
      <c r="DX57" s="5" t="s">
        <v>1266</v>
      </c>
      <c r="DY57" s="5" t="s">
        <v>210</v>
      </c>
      <c r="DZ57" s="5" t="s">
        <v>221</v>
      </c>
      <c r="EA57" s="5" t="s">
        <v>1267</v>
      </c>
      <c r="EB57" s="5" t="s">
        <v>203</v>
      </c>
      <c r="EC57" s="5" t="s">
        <v>204</v>
      </c>
      <c r="ED57" s="5" t="s">
        <v>210</v>
      </c>
      <c r="EE57" s="5" t="s">
        <v>219</v>
      </c>
      <c r="EF57" s="5" t="s">
        <v>204</v>
      </c>
      <c r="EG57" s="5" t="s">
        <v>208</v>
      </c>
      <c r="EH57" s="5" t="s">
        <v>1268</v>
      </c>
      <c r="EI57" s="5" t="s">
        <v>210</v>
      </c>
      <c r="EJ57" s="5" t="s">
        <v>221</v>
      </c>
      <c r="EK57" s="5" t="s">
        <v>1269</v>
      </c>
      <c r="EL57" s="5" t="s">
        <v>203</v>
      </c>
      <c r="EM57" s="5" t="s">
        <v>204</v>
      </c>
      <c r="EN57" s="5" t="s">
        <v>210</v>
      </c>
      <c r="EO57" s="5" t="s">
        <v>219</v>
      </c>
      <c r="EP57" s="5" t="s">
        <v>204</v>
      </c>
      <c r="EQ57" s="5" t="s">
        <v>200</v>
      </c>
      <c r="ER57" s="5" t="s">
        <v>1270</v>
      </c>
      <c r="ES57" s="79" t="s">
        <v>528</v>
      </c>
      <c r="ET57" s="20" t="s">
        <v>292</v>
      </c>
      <c r="EU57" s="5" t="s">
        <v>1271</v>
      </c>
      <c r="EV57" s="80" t="s">
        <v>204</v>
      </c>
      <c r="EW57" s="80" t="s">
        <v>204</v>
      </c>
      <c r="EX57" s="80" t="s">
        <v>204</v>
      </c>
      <c r="EY57" s="5" t="s">
        <v>227</v>
      </c>
      <c r="EZ57" s="5" t="s">
        <v>228</v>
      </c>
      <c r="FA57" s="5" t="s">
        <v>200</v>
      </c>
      <c r="FB57" s="5" t="s">
        <v>1272</v>
      </c>
      <c r="FC57" s="5" t="s">
        <v>203</v>
      </c>
      <c r="FD57" s="5" t="s">
        <v>204</v>
      </c>
      <c r="FE57" s="5">
        <f>AMSTAR!BG51</f>
        <v>13</v>
      </c>
      <c r="FF57" s="5">
        <f>AMSTAR!BF51</f>
        <v>5.5</v>
      </c>
      <c r="FG57" s="34">
        <f t="shared" ref="FG57:FG70" si="4">SUM(FF57/FE57)</f>
        <v>0.42307692307692307</v>
      </c>
    </row>
    <row r="58" spans="1:163">
      <c r="A58" s="5"/>
      <c r="B58" s="21">
        <v>4857</v>
      </c>
      <c r="C58" s="14" t="s">
        <v>1273</v>
      </c>
      <c r="D58" s="42">
        <v>2014</v>
      </c>
      <c r="E58" s="42" t="s">
        <v>1274</v>
      </c>
      <c r="F58" s="42" t="s">
        <v>233</v>
      </c>
      <c r="G58" s="80" t="s">
        <v>1275</v>
      </c>
      <c r="H58" s="42" t="s">
        <v>198</v>
      </c>
      <c r="I58" s="42">
        <v>4</v>
      </c>
      <c r="J58" s="42" t="s">
        <v>1276</v>
      </c>
      <c r="K58" s="42" t="s">
        <v>208</v>
      </c>
      <c r="L58" s="42" t="s">
        <v>236</v>
      </c>
      <c r="M58" s="42" t="s">
        <v>1277</v>
      </c>
      <c r="N58" s="42">
        <v>1995</v>
      </c>
      <c r="O58" s="42">
        <v>2013</v>
      </c>
      <c r="P58" s="42" t="s">
        <v>200</v>
      </c>
      <c r="Q58" s="42" t="s">
        <v>1278</v>
      </c>
      <c r="R58" s="42" t="s">
        <v>1279</v>
      </c>
      <c r="S58" s="42" t="s">
        <v>204</v>
      </c>
      <c r="T58" s="42" t="s">
        <v>241</v>
      </c>
      <c r="U58" s="42" t="s">
        <v>303</v>
      </c>
      <c r="V58" s="42" t="s">
        <v>200</v>
      </c>
      <c r="W58" s="42" t="s">
        <v>208</v>
      </c>
      <c r="X58" s="42">
        <v>13</v>
      </c>
      <c r="Y58" s="42">
        <v>13</v>
      </c>
      <c r="Z58" s="42">
        <v>6</v>
      </c>
      <c r="AA58" s="42" t="s">
        <v>1280</v>
      </c>
      <c r="AB58" s="42">
        <v>164</v>
      </c>
      <c r="AC58" s="42">
        <v>113</v>
      </c>
      <c r="AD58" s="42">
        <v>51</v>
      </c>
      <c r="AE58" s="42">
        <v>17</v>
      </c>
      <c r="AF58" s="42">
        <v>77</v>
      </c>
      <c r="AG58" s="42" t="s">
        <v>1281</v>
      </c>
      <c r="AH58" s="42" t="s">
        <v>204</v>
      </c>
      <c r="AI58" s="5">
        <f t="shared" si="3"/>
        <v>1</v>
      </c>
      <c r="AJ58" s="42" t="s">
        <v>208</v>
      </c>
      <c r="AK58" s="42" t="s">
        <v>1282</v>
      </c>
      <c r="AL58" s="42" t="s">
        <v>203</v>
      </c>
      <c r="AM58" s="42" t="s">
        <v>204</v>
      </c>
      <c r="AN58" s="42" t="s">
        <v>203</v>
      </c>
      <c r="AO58" s="42" t="s">
        <v>204</v>
      </c>
      <c r="AP58" s="42" t="s">
        <v>371</v>
      </c>
      <c r="AQ58" s="42" t="s">
        <v>371</v>
      </c>
      <c r="AR58" s="42" t="s">
        <v>371</v>
      </c>
      <c r="AS58" s="42" t="s">
        <v>371</v>
      </c>
      <c r="AT58" s="42" t="s">
        <v>371</v>
      </c>
      <c r="AU58" s="42">
        <v>0</v>
      </c>
      <c r="AV58" s="42">
        <v>1</v>
      </c>
      <c r="AW58" s="99" t="s">
        <v>1283</v>
      </c>
      <c r="AX58" s="42">
        <v>1</v>
      </c>
      <c r="AY58" s="42" t="s">
        <v>1284</v>
      </c>
      <c r="AZ58" s="42">
        <v>0</v>
      </c>
      <c r="BA58" s="42" t="s">
        <v>204</v>
      </c>
      <c r="BB58" s="42">
        <v>4</v>
      </c>
      <c r="BC58" s="42" t="s">
        <v>435</v>
      </c>
      <c r="BD58" s="42">
        <v>0</v>
      </c>
      <c r="BE58" s="42" t="s">
        <v>204</v>
      </c>
      <c r="BF58" s="42">
        <v>0</v>
      </c>
      <c r="BG58" s="42" t="s">
        <v>204</v>
      </c>
      <c r="BH58" s="42">
        <v>0</v>
      </c>
      <c r="BI58" s="42" t="s">
        <v>204</v>
      </c>
      <c r="BJ58" s="42">
        <v>0</v>
      </c>
      <c r="BK58" s="42" t="s">
        <v>204</v>
      </c>
      <c r="BL58" s="42" t="s">
        <v>214</v>
      </c>
      <c r="BM58" s="42" t="s">
        <v>1285</v>
      </c>
      <c r="BN58" s="42" t="s">
        <v>254</v>
      </c>
      <c r="BO58" s="42" t="s">
        <v>208</v>
      </c>
      <c r="BP58" s="42" t="s">
        <v>208</v>
      </c>
      <c r="BQ58" s="42" t="s">
        <v>203</v>
      </c>
      <c r="BR58" s="42" t="s">
        <v>203</v>
      </c>
      <c r="BS58" s="42" t="s">
        <v>203</v>
      </c>
      <c r="BT58" s="42" t="s">
        <v>203</v>
      </c>
      <c r="BU58" s="42" t="s">
        <v>210</v>
      </c>
      <c r="BV58" s="42">
        <f>COUNTIF(BN58:BT58, "yes")</f>
        <v>2</v>
      </c>
      <c r="BW58" s="42" t="s">
        <v>203</v>
      </c>
      <c r="BX58" s="42" t="s">
        <v>203</v>
      </c>
      <c r="BY58" s="42" t="s">
        <v>203</v>
      </c>
      <c r="BZ58" s="42" t="s">
        <v>204</v>
      </c>
      <c r="CA58" s="42">
        <f>COUNTIF(BW58:BY58, "yes")</f>
        <v>0</v>
      </c>
      <c r="CB58" s="42" t="s">
        <v>210</v>
      </c>
      <c r="CC58" s="42" t="s">
        <v>203</v>
      </c>
      <c r="CD58" s="42" t="s">
        <v>200</v>
      </c>
      <c r="CE58" s="42" t="s">
        <v>203</v>
      </c>
      <c r="CF58" s="5" t="s">
        <v>203</v>
      </c>
      <c r="CG58" s="5" t="s">
        <v>210</v>
      </c>
      <c r="CH58" s="5" t="s">
        <v>203</v>
      </c>
      <c r="CI58" s="5" t="s">
        <v>203</v>
      </c>
      <c r="CJ58" s="5" t="s">
        <v>204</v>
      </c>
      <c r="CK58" s="5">
        <f>COUNTIF(CB58:CI58, "yes")</f>
        <v>1</v>
      </c>
      <c r="CL58" s="5" t="s">
        <v>216</v>
      </c>
      <c r="CM58" s="5">
        <v>0</v>
      </c>
      <c r="CN58" s="5" t="s">
        <v>217</v>
      </c>
      <c r="CO58" s="5">
        <v>2</v>
      </c>
      <c r="CP58" s="5" t="s">
        <v>251</v>
      </c>
      <c r="CQ58" s="5">
        <v>0</v>
      </c>
      <c r="CR58" s="5" t="s">
        <v>217</v>
      </c>
      <c r="CS58" s="5">
        <v>2</v>
      </c>
      <c r="CT58" s="5" t="s">
        <v>251</v>
      </c>
      <c r="CU58" s="5">
        <v>0</v>
      </c>
      <c r="CV58" s="5" t="s">
        <v>252</v>
      </c>
      <c r="CW58" s="5">
        <v>0</v>
      </c>
      <c r="CX58" s="5" t="s">
        <v>217</v>
      </c>
      <c r="CY58" s="5">
        <v>1</v>
      </c>
      <c r="CZ58" s="5" t="s">
        <v>217</v>
      </c>
      <c r="DA58" s="5">
        <v>1</v>
      </c>
      <c r="DB58" s="5" t="s">
        <v>252</v>
      </c>
      <c r="DC58" s="5">
        <v>0</v>
      </c>
      <c r="DD58" s="5" t="s">
        <v>216</v>
      </c>
      <c r="DE58" s="5" t="s">
        <v>204</v>
      </c>
      <c r="DF58" s="5" t="s">
        <v>1019</v>
      </c>
      <c r="DG58" s="5" t="s">
        <v>254</v>
      </c>
      <c r="DH58" s="5" t="s">
        <v>254</v>
      </c>
      <c r="DI58" s="5" t="s">
        <v>254</v>
      </c>
      <c r="DJ58" s="5" t="s">
        <v>254</v>
      </c>
      <c r="DK58" s="5" t="s">
        <v>254</v>
      </c>
      <c r="DL58" s="5" t="s">
        <v>254</v>
      </c>
      <c r="DM58" s="5" t="s">
        <v>200</v>
      </c>
      <c r="DN58" s="5" t="s">
        <v>1286</v>
      </c>
      <c r="DO58" s="5" t="s">
        <v>210</v>
      </c>
      <c r="DP58" s="5" t="s">
        <v>221</v>
      </c>
      <c r="DQ58" s="5" t="s">
        <v>1287</v>
      </c>
      <c r="DR58" s="5" t="s">
        <v>203</v>
      </c>
      <c r="DS58" s="5" t="s">
        <v>204</v>
      </c>
      <c r="DT58" s="5" t="s">
        <v>210</v>
      </c>
      <c r="DU58" s="5" t="s">
        <v>219</v>
      </c>
      <c r="DV58" s="5" t="s">
        <v>204</v>
      </c>
      <c r="DW58" s="5" t="s">
        <v>203</v>
      </c>
      <c r="DX58" s="5" t="s">
        <v>204</v>
      </c>
      <c r="DY58" s="5" t="s">
        <v>210</v>
      </c>
      <c r="DZ58" s="5" t="s">
        <v>219</v>
      </c>
      <c r="EA58" s="5" t="s">
        <v>204</v>
      </c>
      <c r="EB58" s="5" t="s">
        <v>203</v>
      </c>
      <c r="EC58" s="5" t="s">
        <v>204</v>
      </c>
      <c r="ED58" s="5" t="s">
        <v>210</v>
      </c>
      <c r="EE58" s="5" t="s">
        <v>219</v>
      </c>
      <c r="EF58" s="5" t="s">
        <v>204</v>
      </c>
      <c r="EG58" s="5" t="s">
        <v>203</v>
      </c>
      <c r="EH58" s="5" t="s">
        <v>204</v>
      </c>
      <c r="EI58" s="5" t="s">
        <v>210</v>
      </c>
      <c r="EJ58" s="5" t="s">
        <v>219</v>
      </c>
      <c r="EK58" s="5" t="s">
        <v>204</v>
      </c>
      <c r="EL58" s="5" t="s">
        <v>203</v>
      </c>
      <c r="EM58" s="5" t="s">
        <v>204</v>
      </c>
      <c r="EN58" s="5" t="s">
        <v>210</v>
      </c>
      <c r="EO58" s="5" t="s">
        <v>219</v>
      </c>
      <c r="EP58" s="5" t="s">
        <v>204</v>
      </c>
      <c r="EQ58" s="5" t="s">
        <v>208</v>
      </c>
      <c r="ER58" s="5" t="s">
        <v>1288</v>
      </c>
      <c r="ES58" s="79" t="s">
        <v>1289</v>
      </c>
      <c r="ET58" s="20" t="s">
        <v>529</v>
      </c>
      <c r="EU58" s="5" t="s">
        <v>1290</v>
      </c>
      <c r="EV58" s="80" t="s">
        <v>203</v>
      </c>
      <c r="EW58" s="5" t="s">
        <v>371</v>
      </c>
      <c r="EX58" s="5" t="s">
        <v>204</v>
      </c>
      <c r="EY58" s="5" t="s">
        <v>227</v>
      </c>
      <c r="EZ58" s="5" t="s">
        <v>228</v>
      </c>
      <c r="FA58" s="5" t="s">
        <v>203</v>
      </c>
      <c r="FB58" s="5" t="s">
        <v>204</v>
      </c>
      <c r="FC58" s="5" t="s">
        <v>203</v>
      </c>
      <c r="FD58" s="5" t="s">
        <v>204</v>
      </c>
      <c r="FE58" s="5">
        <f>AMSTAR!BG52</f>
        <v>13</v>
      </c>
      <c r="FF58" s="5">
        <f>AMSTAR!BF52</f>
        <v>5</v>
      </c>
      <c r="FG58" s="34">
        <f t="shared" si="4"/>
        <v>0.38461538461538464</v>
      </c>
    </row>
    <row r="59" spans="1:163">
      <c r="A59" s="5"/>
      <c r="B59" s="21">
        <v>3721</v>
      </c>
      <c r="C59" s="14" t="s">
        <v>1291</v>
      </c>
      <c r="D59" s="42">
        <v>2013</v>
      </c>
      <c r="E59" s="42" t="s">
        <v>1292</v>
      </c>
      <c r="F59" s="42" t="s">
        <v>341</v>
      </c>
      <c r="G59" s="80" t="s">
        <v>1293</v>
      </c>
      <c r="H59" s="42" t="s">
        <v>198</v>
      </c>
      <c r="I59" s="42">
        <v>8</v>
      </c>
      <c r="J59" s="42" t="s">
        <v>1294</v>
      </c>
      <c r="K59" s="42" t="s">
        <v>203</v>
      </c>
      <c r="L59" s="42" t="s">
        <v>298</v>
      </c>
      <c r="M59" s="42" t="s">
        <v>209</v>
      </c>
      <c r="N59" s="42">
        <v>1990</v>
      </c>
      <c r="O59" s="100">
        <v>2010</v>
      </c>
      <c r="P59" s="42" t="s">
        <v>203</v>
      </c>
      <c r="Q59" s="42" t="s">
        <v>204</v>
      </c>
      <c r="R59" s="42" t="s">
        <v>1295</v>
      </c>
      <c r="S59" s="101" t="s">
        <v>1296</v>
      </c>
      <c r="T59" s="102" t="s">
        <v>1297</v>
      </c>
      <c r="U59" s="102" t="s">
        <v>1298</v>
      </c>
      <c r="V59" s="102" t="s">
        <v>203</v>
      </c>
      <c r="W59" s="42" t="s">
        <v>203</v>
      </c>
      <c r="X59" s="42">
        <v>27</v>
      </c>
      <c r="Y59" s="42">
        <v>25</v>
      </c>
      <c r="Z59" s="42" t="s">
        <v>241</v>
      </c>
      <c r="AA59" s="42" t="s">
        <v>1299</v>
      </c>
      <c r="AB59" s="42">
        <v>380</v>
      </c>
      <c r="AC59" s="42" t="s">
        <v>209</v>
      </c>
      <c r="AD59" s="42" t="s">
        <v>209</v>
      </c>
      <c r="AE59" s="42" t="s">
        <v>209</v>
      </c>
      <c r="AF59" s="42" t="s">
        <v>209</v>
      </c>
      <c r="AG59" s="42" t="s">
        <v>209</v>
      </c>
      <c r="AH59" s="42" t="s">
        <v>1300</v>
      </c>
      <c r="AI59" s="5">
        <f t="shared" si="3"/>
        <v>1</v>
      </c>
      <c r="AJ59" s="42" t="s">
        <v>203</v>
      </c>
      <c r="AK59" s="42" t="s">
        <v>204</v>
      </c>
      <c r="AL59" s="42" t="s">
        <v>203</v>
      </c>
      <c r="AM59" s="42" t="s">
        <v>204</v>
      </c>
      <c r="AN59" s="42" t="s">
        <v>200</v>
      </c>
      <c r="AO59" s="42" t="s">
        <v>261</v>
      </c>
      <c r="AP59" s="42" t="s">
        <v>372</v>
      </c>
      <c r="AQ59" s="42" t="s">
        <v>372</v>
      </c>
      <c r="AR59" s="42" t="s">
        <v>372</v>
      </c>
      <c r="AS59" s="42" t="s">
        <v>372</v>
      </c>
      <c r="AT59" s="42" t="s">
        <v>372</v>
      </c>
      <c r="AU59" s="42">
        <v>2</v>
      </c>
      <c r="AV59" s="42">
        <v>3</v>
      </c>
      <c r="AW59" s="42" t="s">
        <v>1301</v>
      </c>
      <c r="AX59" s="93">
        <v>0</v>
      </c>
      <c r="AY59" s="93" t="s">
        <v>204</v>
      </c>
      <c r="AZ59" s="42">
        <v>0</v>
      </c>
      <c r="BA59" s="42" t="s">
        <v>204</v>
      </c>
      <c r="BB59" s="42">
        <v>20</v>
      </c>
      <c r="BC59" s="42" t="s">
        <v>1302</v>
      </c>
      <c r="BD59" s="42">
        <v>0</v>
      </c>
      <c r="BE59" s="42" t="s">
        <v>204</v>
      </c>
      <c r="BF59" s="42">
        <v>0</v>
      </c>
      <c r="BG59" s="42" t="s">
        <v>204</v>
      </c>
      <c r="BH59" s="42">
        <v>0</v>
      </c>
      <c r="BI59" s="42" t="s">
        <v>204</v>
      </c>
      <c r="BJ59" s="42">
        <v>0</v>
      </c>
      <c r="BK59" s="42" t="s">
        <v>204</v>
      </c>
      <c r="BL59" s="42" t="s">
        <v>214</v>
      </c>
      <c r="BM59" s="42" t="s">
        <v>1303</v>
      </c>
      <c r="BN59" s="42" t="s">
        <v>254</v>
      </c>
      <c r="BO59" s="42" t="s">
        <v>254</v>
      </c>
      <c r="BP59" s="42" t="s">
        <v>254</v>
      </c>
      <c r="BQ59" s="42" t="s">
        <v>254</v>
      </c>
      <c r="BR59" s="42" t="s">
        <v>254</v>
      </c>
      <c r="BS59" s="42" t="s">
        <v>254</v>
      </c>
      <c r="BT59" s="42" t="s">
        <v>254</v>
      </c>
      <c r="BU59" s="42" t="s">
        <v>254</v>
      </c>
      <c r="BV59" s="93">
        <f>COUNTIF(BN59:BT59, "yes")</f>
        <v>0</v>
      </c>
      <c r="BW59" s="93" t="s">
        <v>203</v>
      </c>
      <c r="BX59" s="93" t="s">
        <v>203</v>
      </c>
      <c r="BY59" s="93" t="s">
        <v>203</v>
      </c>
      <c r="BZ59" s="93" t="s">
        <v>204</v>
      </c>
      <c r="CA59" s="93">
        <f>COUNTIF(BW59:BY59, "yes")</f>
        <v>0</v>
      </c>
      <c r="CB59" s="42" t="s">
        <v>254</v>
      </c>
      <c r="CC59" s="42" t="s">
        <v>254</v>
      </c>
      <c r="CD59" s="42" t="s">
        <v>254</v>
      </c>
      <c r="CE59" s="42" t="s">
        <v>200</v>
      </c>
      <c r="CF59" s="5" t="s">
        <v>254</v>
      </c>
      <c r="CG59" s="5" t="s">
        <v>254</v>
      </c>
      <c r="CH59" s="5" t="s">
        <v>254</v>
      </c>
      <c r="CI59" s="5" t="s">
        <v>254</v>
      </c>
      <c r="CJ59" s="5" t="s">
        <v>204</v>
      </c>
      <c r="CK59" s="5">
        <f>COUNTIF(CB59:CI59, "yes")</f>
        <v>1</v>
      </c>
      <c r="CL59" s="5" t="s">
        <v>216</v>
      </c>
      <c r="CM59" s="5">
        <v>0</v>
      </c>
      <c r="CN59" s="5" t="s">
        <v>216</v>
      </c>
      <c r="CO59" s="5">
        <v>0</v>
      </c>
      <c r="CP59" s="5" t="s">
        <v>216</v>
      </c>
      <c r="CQ59" s="5">
        <v>0</v>
      </c>
      <c r="CR59" s="5" t="s">
        <v>216</v>
      </c>
      <c r="CS59" s="5">
        <v>0</v>
      </c>
      <c r="CT59" s="5" t="s">
        <v>216</v>
      </c>
      <c r="CU59" s="5">
        <v>0</v>
      </c>
      <c r="CV59" s="5" t="s">
        <v>216</v>
      </c>
      <c r="CW59" s="5">
        <v>0</v>
      </c>
      <c r="CX59" s="5" t="s">
        <v>217</v>
      </c>
      <c r="CY59" s="5">
        <v>20</v>
      </c>
      <c r="CZ59" s="5" t="s">
        <v>217</v>
      </c>
      <c r="DA59" s="5">
        <v>5</v>
      </c>
      <c r="DB59" s="5" t="s">
        <v>252</v>
      </c>
      <c r="DC59" s="5">
        <v>0</v>
      </c>
      <c r="DD59" s="5" t="s">
        <v>216</v>
      </c>
      <c r="DE59" s="5" t="s">
        <v>204</v>
      </c>
      <c r="DF59" s="5" t="s">
        <v>204</v>
      </c>
      <c r="DG59" s="5" t="s">
        <v>203</v>
      </c>
      <c r="DH59" s="5" t="s">
        <v>203</v>
      </c>
      <c r="DI59" s="5" t="s">
        <v>203</v>
      </c>
      <c r="DJ59" s="5" t="s">
        <v>203</v>
      </c>
      <c r="DK59" s="5" t="s">
        <v>203</v>
      </c>
      <c r="DL59" s="5" t="s">
        <v>203</v>
      </c>
      <c r="DM59" s="5" t="s">
        <v>203</v>
      </c>
      <c r="DN59" s="5" t="s">
        <v>204</v>
      </c>
      <c r="DO59" s="5" t="s">
        <v>210</v>
      </c>
      <c r="DP59" s="5" t="s">
        <v>219</v>
      </c>
      <c r="DQ59" s="5" t="s">
        <v>204</v>
      </c>
      <c r="DR59" s="5" t="s">
        <v>203</v>
      </c>
      <c r="DS59" s="5" t="s">
        <v>204</v>
      </c>
      <c r="DT59" s="5" t="s">
        <v>210</v>
      </c>
      <c r="DU59" s="5" t="s">
        <v>219</v>
      </c>
      <c r="DV59" s="5" t="s">
        <v>204</v>
      </c>
      <c r="DW59" s="5" t="s">
        <v>208</v>
      </c>
      <c r="DX59" s="5" t="s">
        <v>1304</v>
      </c>
      <c r="DY59" s="5" t="s">
        <v>210</v>
      </c>
      <c r="DZ59" s="5" t="s">
        <v>221</v>
      </c>
      <c r="EA59" s="5" t="s">
        <v>1305</v>
      </c>
      <c r="EB59" s="5" t="s">
        <v>203</v>
      </c>
      <c r="EC59" s="5" t="s">
        <v>204</v>
      </c>
      <c r="ED59" s="5" t="s">
        <v>210</v>
      </c>
      <c r="EE59" s="5" t="s">
        <v>219</v>
      </c>
      <c r="EF59" s="5" t="s">
        <v>204</v>
      </c>
      <c r="EG59" s="5" t="s">
        <v>203</v>
      </c>
      <c r="EH59" s="5" t="s">
        <v>204</v>
      </c>
      <c r="EI59" s="5" t="s">
        <v>210</v>
      </c>
      <c r="EJ59" s="5" t="s">
        <v>219</v>
      </c>
      <c r="EK59" s="5" t="s">
        <v>204</v>
      </c>
      <c r="EL59" s="5" t="s">
        <v>203</v>
      </c>
      <c r="EM59" s="5" t="s">
        <v>204</v>
      </c>
      <c r="EN59" s="5" t="s">
        <v>210</v>
      </c>
      <c r="EO59" s="5" t="s">
        <v>219</v>
      </c>
      <c r="EP59" s="5" t="s">
        <v>204</v>
      </c>
      <c r="EQ59" s="5" t="s">
        <v>208</v>
      </c>
      <c r="ER59" s="5" t="s">
        <v>1306</v>
      </c>
      <c r="ES59" s="79" t="s">
        <v>1307</v>
      </c>
      <c r="ET59" s="20" t="s">
        <v>292</v>
      </c>
      <c r="EU59" s="5" t="s">
        <v>1308</v>
      </c>
      <c r="EV59" s="80" t="s">
        <v>371</v>
      </c>
      <c r="EW59" s="80" t="s">
        <v>371</v>
      </c>
      <c r="EX59" s="80" t="s">
        <v>371</v>
      </c>
      <c r="EY59" s="5" t="s">
        <v>262</v>
      </c>
      <c r="EZ59" s="5" t="s">
        <v>228</v>
      </c>
      <c r="FA59" s="5" t="s">
        <v>203</v>
      </c>
      <c r="FB59" s="5" t="s">
        <v>204</v>
      </c>
      <c r="FC59" s="5" t="s">
        <v>203</v>
      </c>
      <c r="FD59" s="5" t="s">
        <v>204</v>
      </c>
      <c r="FE59" s="5">
        <f>AMSTAR!BG53</f>
        <v>13</v>
      </c>
      <c r="FF59" s="5">
        <f>AMSTAR!BF53</f>
        <v>2</v>
      </c>
      <c r="FG59" s="34">
        <f t="shared" si="4"/>
        <v>0.15384615384615385</v>
      </c>
    </row>
    <row r="60" spans="1:163">
      <c r="A60" s="5"/>
      <c r="B60" s="49" t="s">
        <v>193</v>
      </c>
      <c r="C60" s="103" t="s">
        <v>1309</v>
      </c>
      <c r="D60" s="96">
        <v>2017</v>
      </c>
      <c r="E60" s="96" t="s">
        <v>1310</v>
      </c>
      <c r="F60" s="96" t="s">
        <v>233</v>
      </c>
      <c r="G60" s="95" t="s">
        <v>1311</v>
      </c>
      <c r="H60" s="96" t="s">
        <v>198</v>
      </c>
      <c r="I60" s="96">
        <v>8</v>
      </c>
      <c r="J60" s="96" t="s">
        <v>1312</v>
      </c>
      <c r="K60" s="96" t="s">
        <v>208</v>
      </c>
      <c r="L60" s="96" t="s">
        <v>236</v>
      </c>
      <c r="M60" s="96" t="s">
        <v>781</v>
      </c>
      <c r="N60" s="96" t="s">
        <v>209</v>
      </c>
      <c r="O60" s="96">
        <v>2016</v>
      </c>
      <c r="P60" s="96" t="s">
        <v>208</v>
      </c>
      <c r="Q60" s="96" t="s">
        <v>1313</v>
      </c>
      <c r="R60" s="96" t="s">
        <v>1314</v>
      </c>
      <c r="S60" s="104" t="s">
        <v>1315</v>
      </c>
      <c r="T60" s="93" t="s">
        <v>207</v>
      </c>
      <c r="U60" s="93" t="s">
        <v>204</v>
      </c>
      <c r="V60" s="93" t="s">
        <v>210</v>
      </c>
      <c r="W60" s="95" t="s">
        <v>210</v>
      </c>
      <c r="X60" s="96">
        <v>19</v>
      </c>
      <c r="Y60" s="96">
        <v>22</v>
      </c>
      <c r="Z60" s="96">
        <v>18</v>
      </c>
      <c r="AA60" s="96" t="s">
        <v>1316</v>
      </c>
      <c r="AB60" s="96" t="s">
        <v>209</v>
      </c>
      <c r="AC60" s="96" t="s">
        <v>209</v>
      </c>
      <c r="AD60" s="96" t="s">
        <v>209</v>
      </c>
      <c r="AE60" s="96" t="s">
        <v>209</v>
      </c>
      <c r="AF60" s="96" t="s">
        <v>209</v>
      </c>
      <c r="AG60" s="96" t="s">
        <v>209</v>
      </c>
      <c r="AH60" s="96" t="s">
        <v>1317</v>
      </c>
      <c r="AI60" s="5">
        <f t="shared" si="3"/>
        <v>1</v>
      </c>
      <c r="AJ60" s="96" t="s">
        <v>203</v>
      </c>
      <c r="AK60" s="96" t="s">
        <v>204</v>
      </c>
      <c r="AL60" s="96" t="s">
        <v>210</v>
      </c>
      <c r="AM60" s="96" t="s">
        <v>204</v>
      </c>
      <c r="AN60" s="96" t="s">
        <v>200</v>
      </c>
      <c r="AO60" s="96" t="s">
        <v>1318</v>
      </c>
      <c r="AP60" s="96" t="s">
        <v>208</v>
      </c>
      <c r="AQ60" s="96" t="s">
        <v>208</v>
      </c>
      <c r="AR60" s="96" t="s">
        <v>208</v>
      </c>
      <c r="AS60" s="96" t="s">
        <v>210</v>
      </c>
      <c r="AT60" s="96" t="s">
        <v>372</v>
      </c>
      <c r="AU60" s="96" t="s">
        <v>209</v>
      </c>
      <c r="AV60" s="5" t="s">
        <v>209</v>
      </c>
      <c r="AW60" s="5" t="s">
        <v>204</v>
      </c>
      <c r="AX60" s="96" t="s">
        <v>209</v>
      </c>
      <c r="AY60" s="96" t="s">
        <v>204</v>
      </c>
      <c r="AZ60" s="96" t="s">
        <v>209</v>
      </c>
      <c r="BA60" s="96" t="s">
        <v>204</v>
      </c>
      <c r="BB60" s="96" t="s">
        <v>209</v>
      </c>
      <c r="BC60" s="96" t="s">
        <v>204</v>
      </c>
      <c r="BD60" s="96" t="s">
        <v>209</v>
      </c>
      <c r="BE60" s="96" t="s">
        <v>204</v>
      </c>
      <c r="BF60" s="96" t="s">
        <v>209</v>
      </c>
      <c r="BG60" s="96" t="s">
        <v>204</v>
      </c>
      <c r="BH60" s="96" t="s">
        <v>209</v>
      </c>
      <c r="BI60" s="96" t="s">
        <v>204</v>
      </c>
      <c r="BJ60" s="96" t="s">
        <v>209</v>
      </c>
      <c r="BK60" s="96" t="s">
        <v>204</v>
      </c>
      <c r="BL60" s="96" t="s">
        <v>328</v>
      </c>
      <c r="BM60" s="96" t="s">
        <v>1319</v>
      </c>
      <c r="BN60" s="96" t="s">
        <v>210</v>
      </c>
      <c r="BO60" s="96" t="s">
        <v>200</v>
      </c>
      <c r="BP60" s="96" t="s">
        <v>203</v>
      </c>
      <c r="BQ60" s="96" t="s">
        <v>203</v>
      </c>
      <c r="BR60" s="96" t="s">
        <v>203</v>
      </c>
      <c r="BS60" s="96" t="s">
        <v>203</v>
      </c>
      <c r="BT60" s="96" t="s">
        <v>203</v>
      </c>
      <c r="BU60" s="96" t="s">
        <v>204</v>
      </c>
      <c r="BV60" s="96">
        <f>COUNTIF(BN60:BT60, "yes")</f>
        <v>1</v>
      </c>
      <c r="BW60" s="96" t="s">
        <v>203</v>
      </c>
      <c r="BX60" s="96" t="s">
        <v>203</v>
      </c>
      <c r="BY60" s="96" t="s">
        <v>203</v>
      </c>
      <c r="BZ60" s="96" t="s">
        <v>204</v>
      </c>
      <c r="CA60" s="96">
        <f>COUNTIF(BW60:BY60, "yes")</f>
        <v>0</v>
      </c>
      <c r="CB60" s="96" t="s">
        <v>208</v>
      </c>
      <c r="CC60" s="96" t="s">
        <v>208</v>
      </c>
      <c r="CD60" s="96" t="s">
        <v>208</v>
      </c>
      <c r="CE60" s="96" t="s">
        <v>208</v>
      </c>
      <c r="CF60" s="96" t="s">
        <v>203</v>
      </c>
      <c r="CG60" s="96" t="s">
        <v>210</v>
      </c>
      <c r="CH60" s="96" t="s">
        <v>210</v>
      </c>
      <c r="CI60" s="96" t="s">
        <v>210</v>
      </c>
      <c r="CJ60" s="96" t="s">
        <v>204</v>
      </c>
      <c r="CK60" s="96">
        <f>COUNTIF(CB60:CI60, "yes")</f>
        <v>4</v>
      </c>
      <c r="CL60" s="96" t="s">
        <v>216</v>
      </c>
      <c r="CM60" s="96">
        <v>0</v>
      </c>
      <c r="CN60" s="96" t="s">
        <v>217</v>
      </c>
      <c r="CO60" s="96">
        <v>6</v>
      </c>
      <c r="CP60" s="96" t="s">
        <v>252</v>
      </c>
      <c r="CQ60" s="96" t="s">
        <v>209</v>
      </c>
      <c r="CR60" s="96" t="s">
        <v>252</v>
      </c>
      <c r="CS60" s="96" t="s">
        <v>209</v>
      </c>
      <c r="CT60" s="96" t="s">
        <v>252</v>
      </c>
      <c r="CU60" s="96" t="s">
        <v>209</v>
      </c>
      <c r="CV60" s="96" t="s">
        <v>252</v>
      </c>
      <c r="CW60" s="96" t="s">
        <v>209</v>
      </c>
      <c r="CX60" s="96" t="s">
        <v>252</v>
      </c>
      <c r="CY60" s="96" t="s">
        <v>209</v>
      </c>
      <c r="CZ60" s="96" t="s">
        <v>252</v>
      </c>
      <c r="DA60" s="96" t="s">
        <v>209</v>
      </c>
      <c r="DB60" s="96" t="s">
        <v>252</v>
      </c>
      <c r="DC60" s="96" t="s">
        <v>209</v>
      </c>
      <c r="DD60" s="96" t="s">
        <v>252</v>
      </c>
      <c r="DE60" s="96" t="s">
        <v>209</v>
      </c>
      <c r="DF60" s="96" t="s">
        <v>1320</v>
      </c>
      <c r="DG60" s="96" t="s">
        <v>254</v>
      </c>
      <c r="DH60" s="96" t="s">
        <v>254</v>
      </c>
      <c r="DI60" s="96" t="s">
        <v>254</v>
      </c>
      <c r="DJ60" s="96" t="s">
        <v>254</v>
      </c>
      <c r="DK60" s="96" t="s">
        <v>254</v>
      </c>
      <c r="DL60" s="96" t="s">
        <v>254</v>
      </c>
      <c r="DM60" s="96" t="s">
        <v>200</v>
      </c>
      <c r="DN60" s="96" t="s">
        <v>1321</v>
      </c>
      <c r="DO60" s="96" t="s">
        <v>210</v>
      </c>
      <c r="DP60" s="96" t="s">
        <v>221</v>
      </c>
      <c r="DQ60" s="96" t="s">
        <v>1322</v>
      </c>
      <c r="DR60" s="96" t="s">
        <v>203</v>
      </c>
      <c r="DS60" s="96" t="s">
        <v>204</v>
      </c>
      <c r="DT60" s="96" t="s">
        <v>210</v>
      </c>
      <c r="DU60" s="96" t="s">
        <v>219</v>
      </c>
      <c r="DV60" s="96" t="s">
        <v>204</v>
      </c>
      <c r="DW60" s="96" t="s">
        <v>200</v>
      </c>
      <c r="DX60" s="96" t="s">
        <v>1323</v>
      </c>
      <c r="DY60" s="96" t="s">
        <v>210</v>
      </c>
      <c r="DZ60" s="96" t="s">
        <v>221</v>
      </c>
      <c r="EA60" s="96" t="s">
        <v>1324</v>
      </c>
      <c r="EB60" s="96" t="s">
        <v>203</v>
      </c>
      <c r="EC60" s="96" t="s">
        <v>204</v>
      </c>
      <c r="ED60" s="96" t="s">
        <v>210</v>
      </c>
      <c r="EE60" s="96" t="s">
        <v>219</v>
      </c>
      <c r="EF60" s="96" t="s">
        <v>204</v>
      </c>
      <c r="EG60" s="96" t="s">
        <v>203</v>
      </c>
      <c r="EH60" s="96" t="s">
        <v>204</v>
      </c>
      <c r="EI60" s="96" t="s">
        <v>210</v>
      </c>
      <c r="EJ60" s="96" t="s">
        <v>219</v>
      </c>
      <c r="EK60" s="96" t="s">
        <v>204</v>
      </c>
      <c r="EL60" s="96" t="s">
        <v>203</v>
      </c>
      <c r="EM60" s="96" t="s">
        <v>204</v>
      </c>
      <c r="EN60" s="96" t="s">
        <v>210</v>
      </c>
      <c r="EO60" s="96" t="s">
        <v>219</v>
      </c>
      <c r="EP60" s="96" t="s">
        <v>204</v>
      </c>
      <c r="EQ60" s="96" t="s">
        <v>203</v>
      </c>
      <c r="ER60" s="96" t="s">
        <v>1325</v>
      </c>
      <c r="ES60" s="105" t="s">
        <v>209</v>
      </c>
      <c r="ET60" s="104" t="s">
        <v>261</v>
      </c>
      <c r="EU60" s="96" t="s">
        <v>1326</v>
      </c>
      <c r="EV60" s="95" t="s">
        <v>210</v>
      </c>
      <c r="EW60" s="96" t="s">
        <v>371</v>
      </c>
      <c r="EX60" s="96" t="s">
        <v>371</v>
      </c>
      <c r="EY60" s="96" t="s">
        <v>262</v>
      </c>
      <c r="EZ60" s="96" t="s">
        <v>228</v>
      </c>
      <c r="FA60" s="96" t="s">
        <v>203</v>
      </c>
      <c r="FB60" s="96" t="s">
        <v>204</v>
      </c>
      <c r="FC60" s="96" t="s">
        <v>208</v>
      </c>
      <c r="FD60" s="96" t="s">
        <v>315</v>
      </c>
      <c r="FE60" s="5">
        <f>AMSTAR!BG54</f>
        <v>13</v>
      </c>
      <c r="FF60" s="5">
        <f>AMSTAR!BF54</f>
        <v>2</v>
      </c>
      <c r="FG60" s="34">
        <f t="shared" si="4"/>
        <v>0.15384615384615385</v>
      </c>
    </row>
    <row r="61" spans="1:163">
      <c r="B61" s="17">
        <v>4957</v>
      </c>
      <c r="C61" s="163" t="s">
        <v>1327</v>
      </c>
      <c r="D61" s="163">
        <v>2014</v>
      </c>
      <c r="E61" s="163" t="s">
        <v>1328</v>
      </c>
      <c r="F61" s="163" t="s">
        <v>233</v>
      </c>
      <c r="G61" s="163" t="s">
        <v>1329</v>
      </c>
      <c r="H61" s="163" t="s">
        <v>954</v>
      </c>
      <c r="I61" s="163">
        <v>8</v>
      </c>
      <c r="J61" s="163" t="s">
        <v>1330</v>
      </c>
      <c r="K61" s="163" t="s">
        <v>200</v>
      </c>
      <c r="L61" s="163" t="s">
        <v>236</v>
      </c>
      <c r="M61" s="163" t="s">
        <v>209</v>
      </c>
      <c r="N61" s="163">
        <v>1999</v>
      </c>
      <c r="O61" s="164" t="s">
        <v>1331</v>
      </c>
      <c r="P61" s="163" t="s">
        <v>203</v>
      </c>
      <c r="Q61" s="163" t="s">
        <v>204</v>
      </c>
      <c r="R61" s="163" t="s">
        <v>1332</v>
      </c>
      <c r="S61" s="165" t="s">
        <v>1333</v>
      </c>
      <c r="T61" s="163" t="s">
        <v>241</v>
      </c>
      <c r="U61" s="163" t="s">
        <v>1334</v>
      </c>
      <c r="V61" s="163" t="s">
        <v>203</v>
      </c>
      <c r="W61" s="166" t="s">
        <v>203</v>
      </c>
      <c r="X61" s="163">
        <v>7</v>
      </c>
      <c r="Y61" s="163">
        <v>7</v>
      </c>
      <c r="Z61" s="163">
        <v>7</v>
      </c>
      <c r="AA61" s="163" t="s">
        <v>204</v>
      </c>
      <c r="AB61" s="163">
        <v>157</v>
      </c>
      <c r="AC61" s="163">
        <v>19</v>
      </c>
      <c r="AD61" s="163">
        <v>138</v>
      </c>
      <c r="AE61" s="163">
        <v>20</v>
      </c>
      <c r="AF61" s="163">
        <v>52</v>
      </c>
      <c r="AG61" s="163" t="s">
        <v>1335</v>
      </c>
      <c r="AH61" s="163" t="s">
        <v>204</v>
      </c>
      <c r="AI61" s="167">
        <f>COUNTIF(AJ61:AN61, "yes")</f>
        <v>1</v>
      </c>
      <c r="AJ61" s="163" t="s">
        <v>203</v>
      </c>
      <c r="AK61" s="163" t="s">
        <v>204</v>
      </c>
      <c r="AL61" s="163" t="s">
        <v>200</v>
      </c>
      <c r="AM61" s="163" t="s">
        <v>1336</v>
      </c>
      <c r="AN61" s="163" t="s">
        <v>203</v>
      </c>
      <c r="AO61" s="163" t="s">
        <v>204</v>
      </c>
      <c r="AP61" s="163" t="s">
        <v>203</v>
      </c>
      <c r="AQ61" s="163" t="s">
        <v>203</v>
      </c>
      <c r="AR61" s="163" t="s">
        <v>203</v>
      </c>
      <c r="AS61" s="163" t="s">
        <v>203</v>
      </c>
      <c r="AT61" s="163" t="s">
        <v>203</v>
      </c>
      <c r="AU61" s="163" t="s">
        <v>209</v>
      </c>
      <c r="AV61" s="167" t="s">
        <v>209</v>
      </c>
      <c r="AW61" s="167" t="s">
        <v>204</v>
      </c>
      <c r="AX61" s="163" t="s">
        <v>209</v>
      </c>
      <c r="AY61" s="163" t="s">
        <v>204</v>
      </c>
      <c r="AZ61" s="163" t="s">
        <v>209</v>
      </c>
      <c r="BA61" s="163" t="s">
        <v>204</v>
      </c>
      <c r="BB61" s="163" t="s">
        <v>209</v>
      </c>
      <c r="BC61" s="163" t="s">
        <v>204</v>
      </c>
      <c r="BD61" s="163" t="s">
        <v>209</v>
      </c>
      <c r="BE61" s="163" t="s">
        <v>204</v>
      </c>
      <c r="BF61" s="163" t="s">
        <v>209</v>
      </c>
      <c r="BG61" s="163" t="s">
        <v>204</v>
      </c>
      <c r="BH61" s="163" t="s">
        <v>209</v>
      </c>
      <c r="BI61" s="163" t="s">
        <v>204</v>
      </c>
      <c r="BJ61" s="163" t="s">
        <v>209</v>
      </c>
      <c r="BK61" s="163" t="s">
        <v>204</v>
      </c>
      <c r="BL61" s="163" t="s">
        <v>249</v>
      </c>
      <c r="BM61" s="163" t="s">
        <v>1337</v>
      </c>
      <c r="BN61" s="163" t="s">
        <v>203</v>
      </c>
      <c r="BO61" s="163" t="s">
        <v>208</v>
      </c>
      <c r="BP61" s="163" t="s">
        <v>210</v>
      </c>
      <c r="BQ61" s="163" t="s">
        <v>208</v>
      </c>
      <c r="BR61" s="163" t="s">
        <v>203</v>
      </c>
      <c r="BS61" s="163" t="s">
        <v>203</v>
      </c>
      <c r="BT61" s="163" t="s">
        <v>203</v>
      </c>
      <c r="BU61" s="163" t="s">
        <v>204</v>
      </c>
      <c r="BV61" s="163">
        <f>COUNTIF(BN61:BT61, "yes")</f>
        <v>2</v>
      </c>
      <c r="BW61" s="163" t="s">
        <v>203</v>
      </c>
      <c r="BX61" s="163" t="s">
        <v>203</v>
      </c>
      <c r="BY61" s="163" t="s">
        <v>203</v>
      </c>
      <c r="BZ61" s="163" t="s">
        <v>204</v>
      </c>
      <c r="CA61" s="163">
        <f>COUNTIF(BW61:BY61, "yes")</f>
        <v>0</v>
      </c>
      <c r="CB61" s="163" t="s">
        <v>203</v>
      </c>
      <c r="CC61" s="163" t="s">
        <v>203</v>
      </c>
      <c r="CD61" s="163" t="s">
        <v>203</v>
      </c>
      <c r="CE61" s="163" t="s">
        <v>203</v>
      </c>
      <c r="CF61" s="163" t="s">
        <v>203</v>
      </c>
      <c r="CG61" s="163" t="s">
        <v>203</v>
      </c>
      <c r="CH61" s="163" t="s">
        <v>203</v>
      </c>
      <c r="CI61" s="163" t="s">
        <v>203</v>
      </c>
      <c r="CJ61" s="163" t="s">
        <v>210</v>
      </c>
      <c r="CK61" s="167">
        <f>COUNTIF(CB61:CI61, "yes")</f>
        <v>0</v>
      </c>
      <c r="CL61" s="163" t="s">
        <v>252</v>
      </c>
      <c r="CM61" s="163">
        <v>0</v>
      </c>
      <c r="CN61" s="163" t="s">
        <v>217</v>
      </c>
      <c r="CO61" s="163">
        <v>1</v>
      </c>
      <c r="CP61" s="163" t="s">
        <v>217</v>
      </c>
      <c r="CQ61" s="163">
        <v>1</v>
      </c>
      <c r="CR61" s="163" t="s">
        <v>217</v>
      </c>
      <c r="CS61" s="163">
        <v>3</v>
      </c>
      <c r="CT61" s="163" t="s">
        <v>252</v>
      </c>
      <c r="CU61" s="163">
        <v>0</v>
      </c>
      <c r="CV61" s="163" t="s">
        <v>217</v>
      </c>
      <c r="CW61" s="163">
        <v>2</v>
      </c>
      <c r="CX61" s="163" t="s">
        <v>252</v>
      </c>
      <c r="CY61" s="163">
        <v>0</v>
      </c>
      <c r="CZ61" s="163" t="s">
        <v>252</v>
      </c>
      <c r="DA61" s="163">
        <v>0</v>
      </c>
      <c r="DB61" s="163" t="s">
        <v>252</v>
      </c>
      <c r="DC61" s="163">
        <v>0</v>
      </c>
      <c r="DD61" s="163" t="s">
        <v>252</v>
      </c>
      <c r="DE61" s="163">
        <v>0</v>
      </c>
      <c r="DF61" s="163" t="s">
        <v>1338</v>
      </c>
      <c r="DG61" s="167" t="s">
        <v>200</v>
      </c>
      <c r="DH61" s="167" t="s">
        <v>200</v>
      </c>
      <c r="DI61" s="167" t="s">
        <v>254</v>
      </c>
      <c r="DJ61" s="167" t="s">
        <v>254</v>
      </c>
      <c r="DK61" s="167" t="s">
        <v>254</v>
      </c>
      <c r="DL61" s="167" t="s">
        <v>200</v>
      </c>
      <c r="DM61" s="167" t="s">
        <v>208</v>
      </c>
      <c r="DN61" s="167" t="s">
        <v>1339</v>
      </c>
      <c r="DO61" s="167" t="s">
        <v>210</v>
      </c>
      <c r="DP61" s="167" t="s">
        <v>334</v>
      </c>
      <c r="DQ61" s="167" t="s">
        <v>1340</v>
      </c>
      <c r="DR61" s="167" t="s">
        <v>203</v>
      </c>
      <c r="DS61" s="167" t="s">
        <v>204</v>
      </c>
      <c r="DT61" s="167" t="s">
        <v>210</v>
      </c>
      <c r="DU61" s="167" t="s">
        <v>219</v>
      </c>
      <c r="DV61" s="167" t="s">
        <v>204</v>
      </c>
      <c r="DW61" s="163" t="s">
        <v>208</v>
      </c>
      <c r="DX61" s="163" t="s">
        <v>1341</v>
      </c>
      <c r="DY61" s="163" t="s">
        <v>210</v>
      </c>
      <c r="DZ61" s="163" t="s">
        <v>221</v>
      </c>
      <c r="EA61" s="163" t="s">
        <v>633</v>
      </c>
      <c r="EB61" s="163" t="s">
        <v>203</v>
      </c>
      <c r="EC61" s="163" t="s">
        <v>204</v>
      </c>
      <c r="ED61" s="163" t="s">
        <v>210</v>
      </c>
      <c r="EE61" s="163" t="s">
        <v>219</v>
      </c>
      <c r="EF61" s="163" t="s">
        <v>204</v>
      </c>
      <c r="EG61" s="163" t="s">
        <v>203</v>
      </c>
      <c r="EH61" s="163" t="s">
        <v>204</v>
      </c>
      <c r="EI61" s="163" t="s">
        <v>210</v>
      </c>
      <c r="EJ61" s="163" t="s">
        <v>219</v>
      </c>
      <c r="EK61" s="163" t="s">
        <v>204</v>
      </c>
      <c r="EL61" s="163" t="s">
        <v>208</v>
      </c>
      <c r="EM61" s="163" t="s">
        <v>1342</v>
      </c>
      <c r="EN61" s="163" t="s">
        <v>210</v>
      </c>
      <c r="EO61" s="163" t="s">
        <v>221</v>
      </c>
      <c r="EP61" s="163" t="s">
        <v>1343</v>
      </c>
      <c r="EQ61" s="163" t="s">
        <v>200</v>
      </c>
      <c r="ER61" s="163" t="s">
        <v>1344</v>
      </c>
      <c r="ES61" s="168" t="s">
        <v>1345</v>
      </c>
      <c r="ET61" s="163" t="s">
        <v>292</v>
      </c>
      <c r="EU61" s="163" t="s">
        <v>1346</v>
      </c>
      <c r="EV61" s="169" t="s">
        <v>204</v>
      </c>
      <c r="EW61" s="169" t="s">
        <v>204</v>
      </c>
      <c r="EX61" s="169" t="s">
        <v>204</v>
      </c>
      <c r="EY61" s="163" t="s">
        <v>262</v>
      </c>
      <c r="EZ61" s="163" t="s">
        <v>228</v>
      </c>
      <c r="FA61" s="163" t="s">
        <v>203</v>
      </c>
      <c r="FB61" s="163" t="s">
        <v>204</v>
      </c>
      <c r="FC61" s="163" t="s">
        <v>203</v>
      </c>
      <c r="FD61" s="163" t="s">
        <v>204</v>
      </c>
      <c r="FE61" s="167">
        <f>AMSTAR!BG55</f>
        <v>13</v>
      </c>
      <c r="FF61" s="167">
        <f>AMSTAR!BF55</f>
        <v>0.5</v>
      </c>
      <c r="FG61" s="170">
        <f t="shared" si="4"/>
        <v>3.8461538461538464E-2</v>
      </c>
    </row>
    <row r="62" spans="1:163">
      <c r="B62" s="17">
        <v>4957</v>
      </c>
      <c r="C62" s="163" t="s">
        <v>1347</v>
      </c>
      <c r="D62" s="163">
        <v>2018</v>
      </c>
      <c r="E62" s="163" t="s">
        <v>1348</v>
      </c>
      <c r="F62" s="163" t="s">
        <v>1349</v>
      </c>
      <c r="G62" s="163" t="s">
        <v>1350</v>
      </c>
      <c r="H62" s="163" t="s">
        <v>198</v>
      </c>
      <c r="I62" s="163"/>
      <c r="J62" s="163"/>
      <c r="K62" s="163"/>
      <c r="L62" s="163"/>
      <c r="M62" s="163">
        <v>2017</v>
      </c>
      <c r="N62" s="163" t="s">
        <v>209</v>
      </c>
      <c r="O62" s="164">
        <v>2017</v>
      </c>
      <c r="P62" s="163"/>
      <c r="Q62" s="163"/>
      <c r="R62" s="163" t="s">
        <v>1351</v>
      </c>
      <c r="S62" s="165" t="s">
        <v>1352</v>
      </c>
      <c r="T62" s="163" t="s">
        <v>207</v>
      </c>
      <c r="U62" s="163"/>
      <c r="V62" s="163" t="s">
        <v>200</v>
      </c>
      <c r="W62" s="166" t="s">
        <v>200</v>
      </c>
      <c r="X62" s="163">
        <v>12</v>
      </c>
      <c r="Y62" s="163">
        <v>13</v>
      </c>
      <c r="Z62" s="163">
        <v>11</v>
      </c>
      <c r="AA62" s="163"/>
      <c r="AB62" s="163"/>
      <c r="AC62" s="163"/>
      <c r="AD62" s="163"/>
      <c r="AE62" s="163"/>
      <c r="AF62" s="163"/>
      <c r="AG62" s="163"/>
      <c r="AH62" s="163"/>
      <c r="AI62" s="167"/>
      <c r="AJ62" s="163"/>
      <c r="AK62" s="163"/>
      <c r="AL62" s="163"/>
      <c r="AM62" s="163"/>
      <c r="AN62" s="163"/>
      <c r="AO62" s="163"/>
      <c r="AP62" s="163"/>
      <c r="AQ62" s="163"/>
      <c r="AR62" s="163"/>
      <c r="AS62" s="163"/>
      <c r="AT62" s="163"/>
      <c r="AU62" s="163">
        <v>5</v>
      </c>
      <c r="AV62" s="167">
        <v>5</v>
      </c>
      <c r="AW62" s="167" t="s">
        <v>1353</v>
      </c>
      <c r="AX62" s="163">
        <v>0</v>
      </c>
      <c r="AY62" s="163"/>
      <c r="AZ62" s="163">
        <v>0</v>
      </c>
      <c r="BA62" s="163"/>
      <c r="BB62" s="163">
        <v>2</v>
      </c>
      <c r="BC62" s="163" t="s">
        <v>1354</v>
      </c>
      <c r="BD62" s="163">
        <v>0</v>
      </c>
      <c r="BE62" s="163"/>
      <c r="BF62" s="163">
        <v>0</v>
      </c>
      <c r="BG62" s="163"/>
      <c r="BH62" s="163">
        <v>0</v>
      </c>
      <c r="BI62" s="163"/>
      <c r="BJ62" s="163">
        <v>0</v>
      </c>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7"/>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7"/>
      <c r="DH62" s="167"/>
      <c r="DI62" s="167"/>
      <c r="DJ62" s="167"/>
      <c r="DK62" s="167"/>
      <c r="DL62" s="167"/>
      <c r="DM62" s="167"/>
      <c r="DN62" s="167"/>
      <c r="DO62" s="167"/>
      <c r="DP62" s="167"/>
      <c r="DQ62" s="167"/>
      <c r="DR62" s="167"/>
      <c r="DS62" s="167"/>
      <c r="DT62" s="167"/>
      <c r="DU62" s="167"/>
      <c r="DV62" s="167"/>
      <c r="DW62" s="163"/>
      <c r="DX62" s="163"/>
      <c r="DY62" s="163"/>
      <c r="DZ62" s="163"/>
      <c r="EA62" s="163"/>
      <c r="EB62" s="163"/>
      <c r="EC62" s="163"/>
      <c r="ED62" s="163"/>
      <c r="EE62" s="163"/>
      <c r="EF62" s="163"/>
      <c r="EG62" s="163"/>
      <c r="EH62" s="163"/>
      <c r="EI62" s="163"/>
      <c r="EJ62" s="163"/>
      <c r="EK62" s="163"/>
      <c r="EL62" s="163"/>
      <c r="EM62" s="163"/>
      <c r="EN62" s="163"/>
      <c r="EO62" s="163"/>
      <c r="EP62" s="163"/>
      <c r="EQ62" s="163" t="s">
        <v>208</v>
      </c>
      <c r="ER62" s="163" t="s">
        <v>1355</v>
      </c>
      <c r="ES62" s="168" t="s">
        <v>657</v>
      </c>
      <c r="ET62" s="163" t="s">
        <v>292</v>
      </c>
      <c r="EU62" s="163" t="s">
        <v>1356</v>
      </c>
      <c r="EV62" s="169" t="s">
        <v>371</v>
      </c>
      <c r="EW62" s="169" t="s">
        <v>371</v>
      </c>
      <c r="EX62" s="169" t="s">
        <v>371</v>
      </c>
      <c r="EY62" s="163" t="s">
        <v>262</v>
      </c>
      <c r="EZ62" s="163" t="s">
        <v>420</v>
      </c>
      <c r="FA62" s="163" t="s">
        <v>203</v>
      </c>
      <c r="FB62" s="163" t="s">
        <v>204</v>
      </c>
      <c r="FC62" s="163" t="s">
        <v>200</v>
      </c>
      <c r="FD62" s="163" t="s">
        <v>315</v>
      </c>
      <c r="FE62" s="167">
        <f>AMSTAR!BG56</f>
        <v>13</v>
      </c>
      <c r="FF62" s="167">
        <f>AMSTAR!BF56</f>
        <v>6</v>
      </c>
      <c r="FG62" s="170">
        <f t="shared" si="4"/>
        <v>0.46153846153846156</v>
      </c>
    </row>
    <row r="63" spans="1:163">
      <c r="B63" s="17">
        <v>4957</v>
      </c>
      <c r="C63" s="163" t="s">
        <v>1357</v>
      </c>
      <c r="D63" s="163">
        <v>2017</v>
      </c>
      <c r="E63" s="163" t="s">
        <v>1358</v>
      </c>
      <c r="F63" s="171" t="s">
        <v>446</v>
      </c>
      <c r="G63" s="163" t="s">
        <v>1359</v>
      </c>
      <c r="H63" s="163" t="s">
        <v>198</v>
      </c>
      <c r="I63" s="163"/>
      <c r="J63" s="163"/>
      <c r="K63" s="163"/>
      <c r="L63" s="163"/>
      <c r="M63" s="172">
        <v>42767</v>
      </c>
      <c r="N63" s="163" t="s">
        <v>202</v>
      </c>
      <c r="O63" s="164">
        <v>2017</v>
      </c>
      <c r="P63" s="163"/>
      <c r="Q63" s="163"/>
      <c r="R63" s="163" t="s">
        <v>1360</v>
      </c>
      <c r="S63" s="165" t="s">
        <v>1361</v>
      </c>
      <c r="T63" s="163" t="s">
        <v>241</v>
      </c>
      <c r="U63" s="163" t="s">
        <v>1362</v>
      </c>
      <c r="V63" s="163" t="s">
        <v>200</v>
      </c>
      <c r="W63" s="166" t="s">
        <v>200</v>
      </c>
      <c r="X63" s="163">
        <v>13</v>
      </c>
      <c r="Y63" s="163">
        <v>14</v>
      </c>
      <c r="Z63" s="163">
        <v>6</v>
      </c>
      <c r="AA63" s="163"/>
      <c r="AB63" s="163"/>
      <c r="AC63" s="163"/>
      <c r="AD63" s="163"/>
      <c r="AE63" s="163"/>
      <c r="AF63" s="163"/>
      <c r="AG63" s="163"/>
      <c r="AH63" s="163"/>
      <c r="AI63" s="167"/>
      <c r="AJ63" s="163"/>
      <c r="AK63" s="163"/>
      <c r="AL63" s="163"/>
      <c r="AM63" s="163"/>
      <c r="AN63" s="163"/>
      <c r="AO63" s="163"/>
      <c r="AP63" s="163"/>
      <c r="AQ63" s="163"/>
      <c r="AR63" s="163"/>
      <c r="AS63" s="163"/>
      <c r="AT63" s="163"/>
      <c r="AU63" s="163">
        <v>0</v>
      </c>
      <c r="AV63" s="167">
        <v>3</v>
      </c>
      <c r="AW63" s="167" t="s">
        <v>1363</v>
      </c>
      <c r="AX63" s="163">
        <v>0</v>
      </c>
      <c r="AY63" s="163"/>
      <c r="AZ63" s="163">
        <v>0</v>
      </c>
      <c r="BA63" s="163"/>
      <c r="BB63" s="163">
        <v>3</v>
      </c>
      <c r="BC63" s="163" t="s">
        <v>1078</v>
      </c>
      <c r="BD63" s="163">
        <v>0</v>
      </c>
      <c r="BE63" s="163"/>
      <c r="BF63" s="163">
        <v>0</v>
      </c>
      <c r="BG63" s="163"/>
      <c r="BH63" s="163">
        <v>0</v>
      </c>
      <c r="BI63" s="163"/>
      <c r="BJ63" s="163">
        <v>0</v>
      </c>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7"/>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7"/>
      <c r="DH63" s="167"/>
      <c r="DI63" s="167"/>
      <c r="DJ63" s="167"/>
      <c r="DK63" s="167"/>
      <c r="DL63" s="167"/>
      <c r="DM63" s="167"/>
      <c r="DN63" s="167"/>
      <c r="DO63" s="167"/>
      <c r="DP63" s="167"/>
      <c r="DQ63" s="167"/>
      <c r="DR63" s="167"/>
      <c r="DS63" s="167"/>
      <c r="DT63" s="167"/>
      <c r="DU63" s="167"/>
      <c r="DV63" s="167"/>
      <c r="DW63" s="163"/>
      <c r="DX63" s="163"/>
      <c r="DY63" s="163"/>
      <c r="DZ63" s="163"/>
      <c r="EA63" s="163"/>
      <c r="EB63" s="163"/>
      <c r="EC63" s="163"/>
      <c r="ED63" s="163"/>
      <c r="EE63" s="163"/>
      <c r="EF63" s="163"/>
      <c r="EG63" s="163"/>
      <c r="EH63" s="163"/>
      <c r="EI63" s="163"/>
      <c r="EJ63" s="163"/>
      <c r="EK63" s="163"/>
      <c r="EL63" s="163"/>
      <c r="EM63" s="163"/>
      <c r="EN63" s="163"/>
      <c r="EO63" s="163"/>
      <c r="EP63" s="163"/>
      <c r="EQ63" s="163" t="s">
        <v>200</v>
      </c>
      <c r="ER63" s="163" t="s">
        <v>1364</v>
      </c>
      <c r="ES63" s="168" t="s">
        <v>1365</v>
      </c>
      <c r="ET63" s="163" t="s">
        <v>529</v>
      </c>
      <c r="EU63" s="163"/>
      <c r="EV63" s="169" t="s">
        <v>203</v>
      </c>
      <c r="EW63" s="169" t="s">
        <v>371</v>
      </c>
      <c r="EX63" s="169"/>
      <c r="EY63" s="163" t="s">
        <v>227</v>
      </c>
      <c r="EZ63" s="163" t="s">
        <v>420</v>
      </c>
      <c r="FA63" s="163" t="s">
        <v>200</v>
      </c>
      <c r="FB63" s="163" t="s">
        <v>1366</v>
      </c>
      <c r="FC63" s="163" t="s">
        <v>200</v>
      </c>
      <c r="FD63" s="163" t="s">
        <v>315</v>
      </c>
      <c r="FE63" s="167">
        <f>AMSTAR!BG57</f>
        <v>16</v>
      </c>
      <c r="FF63" s="167">
        <f>AMSTAR!BF57</f>
        <v>8.5</v>
      </c>
      <c r="FG63" s="170">
        <f t="shared" si="4"/>
        <v>0.53125</v>
      </c>
    </row>
    <row r="64" spans="1:163">
      <c r="B64" s="17">
        <v>4957</v>
      </c>
      <c r="C64" s="163" t="s">
        <v>1367</v>
      </c>
      <c r="D64" s="163">
        <v>2013</v>
      </c>
      <c r="E64" s="163" t="s">
        <v>1368</v>
      </c>
      <c r="F64" s="163" t="s">
        <v>233</v>
      </c>
      <c r="G64" s="163" t="s">
        <v>1369</v>
      </c>
      <c r="H64" s="163" t="s">
        <v>198</v>
      </c>
      <c r="I64" s="163"/>
      <c r="J64" s="163"/>
      <c r="K64" s="163"/>
      <c r="L64" s="163"/>
      <c r="M64" s="163" t="s">
        <v>209</v>
      </c>
      <c r="N64" s="163">
        <v>2003</v>
      </c>
      <c r="O64" s="164" t="s">
        <v>1370</v>
      </c>
      <c r="P64" s="163"/>
      <c r="Q64" s="163"/>
      <c r="R64" s="163" t="s">
        <v>1371</v>
      </c>
      <c r="S64" s="165"/>
      <c r="T64" s="163" t="s">
        <v>241</v>
      </c>
      <c r="U64" s="163" t="s">
        <v>1372</v>
      </c>
      <c r="V64" s="163" t="s">
        <v>200</v>
      </c>
      <c r="W64" s="166" t="s">
        <v>210</v>
      </c>
      <c r="X64" s="163">
        <v>7</v>
      </c>
      <c r="Y64" s="163">
        <v>10</v>
      </c>
      <c r="Z64" s="163">
        <v>7</v>
      </c>
      <c r="AA64" s="163"/>
      <c r="AB64" s="163"/>
      <c r="AC64" s="163"/>
      <c r="AD64" s="163"/>
      <c r="AE64" s="163"/>
      <c r="AF64" s="163"/>
      <c r="AG64" s="163"/>
      <c r="AH64" s="163"/>
      <c r="AI64" s="167"/>
      <c r="AJ64" s="163"/>
      <c r="AK64" s="163"/>
      <c r="AL64" s="163"/>
      <c r="AM64" s="163"/>
      <c r="AN64" s="163"/>
      <c r="AO64" s="163"/>
      <c r="AP64" s="163"/>
      <c r="AQ64" s="163"/>
      <c r="AR64" s="163"/>
      <c r="AS64" s="163"/>
      <c r="AT64" s="163"/>
      <c r="AU64" s="163">
        <v>0</v>
      </c>
      <c r="AV64" s="167">
        <v>3</v>
      </c>
      <c r="AW64" s="167" t="s">
        <v>764</v>
      </c>
      <c r="AX64" s="163">
        <v>2</v>
      </c>
      <c r="AY64" s="163" t="s">
        <v>1373</v>
      </c>
      <c r="AZ64" s="163">
        <v>0</v>
      </c>
      <c r="BA64" s="163"/>
      <c r="BB64" s="163">
        <v>0</v>
      </c>
      <c r="BC64" s="163"/>
      <c r="BD64" s="163">
        <v>0</v>
      </c>
      <c r="BE64" s="163"/>
      <c r="BF64" s="163">
        <v>0</v>
      </c>
      <c r="BG64" s="163"/>
      <c r="BH64" s="163">
        <v>2</v>
      </c>
      <c r="BI64" s="163" t="s">
        <v>1374</v>
      </c>
      <c r="BJ64" s="163">
        <v>0</v>
      </c>
      <c r="BK64" s="163"/>
      <c r="BL64" s="163"/>
      <c r="BM64" s="163"/>
      <c r="BN64" s="163"/>
      <c r="BO64" s="163"/>
      <c r="BP64" s="163"/>
      <c r="BQ64" s="163"/>
      <c r="BR64" s="163"/>
      <c r="BS64" s="163"/>
      <c r="BT64" s="163"/>
      <c r="BU64" s="163"/>
      <c r="BV64" s="163"/>
      <c r="BW64" s="163"/>
      <c r="BX64" s="163"/>
      <c r="BY64" s="163"/>
      <c r="BZ64" s="163"/>
      <c r="CA64" s="163"/>
      <c r="CB64" s="163"/>
      <c r="CC64" s="163"/>
      <c r="CD64" s="163"/>
      <c r="CE64" s="163"/>
      <c r="CF64" s="163"/>
      <c r="CG64" s="163"/>
      <c r="CH64" s="163"/>
      <c r="CI64" s="163"/>
      <c r="CJ64" s="163"/>
      <c r="CK64" s="167"/>
      <c r="CL64" s="163"/>
      <c r="CM64" s="163"/>
      <c r="CN64" s="163"/>
      <c r="CO64" s="163"/>
      <c r="CP64" s="163"/>
      <c r="CQ64" s="163"/>
      <c r="CR64" s="163"/>
      <c r="CS64" s="163"/>
      <c r="CT64" s="163"/>
      <c r="CU64" s="163"/>
      <c r="CV64" s="163"/>
      <c r="CW64" s="163"/>
      <c r="CX64" s="163"/>
      <c r="CY64" s="163"/>
      <c r="CZ64" s="163"/>
      <c r="DA64" s="163"/>
      <c r="DB64" s="163"/>
      <c r="DC64" s="163"/>
      <c r="DD64" s="163"/>
      <c r="DE64" s="163"/>
      <c r="DF64" s="163"/>
      <c r="DG64" s="167"/>
      <c r="DH64" s="167"/>
      <c r="DI64" s="167"/>
      <c r="DJ64" s="167"/>
      <c r="DK64" s="167"/>
      <c r="DL64" s="167"/>
      <c r="DM64" s="167"/>
      <c r="DN64" s="167"/>
      <c r="DO64" s="167"/>
      <c r="DP64" s="167"/>
      <c r="DQ64" s="167"/>
      <c r="DR64" s="167"/>
      <c r="DS64" s="167"/>
      <c r="DT64" s="167"/>
      <c r="DU64" s="167"/>
      <c r="DV64" s="167"/>
      <c r="DW64" s="163"/>
      <c r="DX64" s="163"/>
      <c r="DY64" s="163"/>
      <c r="DZ64" s="163"/>
      <c r="EA64" s="163"/>
      <c r="EB64" s="163"/>
      <c r="EC64" s="163"/>
      <c r="ED64" s="163"/>
      <c r="EE64" s="163"/>
      <c r="EF64" s="163"/>
      <c r="EG64" s="163"/>
      <c r="EH64" s="163"/>
      <c r="EI64" s="163"/>
      <c r="EJ64" s="163"/>
      <c r="EK64" s="163"/>
      <c r="EL64" s="163"/>
      <c r="EM64" s="163"/>
      <c r="EN64" s="163"/>
      <c r="EO64" s="163"/>
      <c r="EP64" s="163"/>
      <c r="EQ64" s="163" t="s">
        <v>210</v>
      </c>
      <c r="ER64" s="163" t="s">
        <v>204</v>
      </c>
      <c r="ES64" s="168" t="s">
        <v>204</v>
      </c>
      <c r="ET64" s="163" t="s">
        <v>261</v>
      </c>
      <c r="EU64" s="163" t="s">
        <v>1375</v>
      </c>
      <c r="EV64" s="169" t="s">
        <v>371</v>
      </c>
      <c r="EW64" s="169" t="s">
        <v>371</v>
      </c>
      <c r="EX64" s="169" t="s">
        <v>371</v>
      </c>
      <c r="EY64" s="163" t="s">
        <v>227</v>
      </c>
      <c r="EZ64" s="163" t="s">
        <v>228</v>
      </c>
      <c r="FA64" s="163" t="s">
        <v>210</v>
      </c>
      <c r="FB64" s="163" t="s">
        <v>204</v>
      </c>
      <c r="FC64" s="163" t="s">
        <v>210</v>
      </c>
      <c r="FD64" s="163" t="s">
        <v>204</v>
      </c>
      <c r="FE64" s="167">
        <f>AMSTAR!BG58</f>
        <v>13</v>
      </c>
      <c r="FF64" s="167">
        <f>AMSTAR!BF58</f>
        <v>0.5</v>
      </c>
      <c r="FG64" s="170">
        <f t="shared" si="4"/>
        <v>3.8461538461538464E-2</v>
      </c>
    </row>
    <row r="65" spans="2:163">
      <c r="B65" s="17">
        <v>4957</v>
      </c>
      <c r="C65" s="163" t="s">
        <v>1376</v>
      </c>
      <c r="D65" s="163">
        <v>2020</v>
      </c>
      <c r="E65" s="163" t="s">
        <v>1377</v>
      </c>
      <c r="F65" s="171" t="s">
        <v>341</v>
      </c>
      <c r="G65" s="163" t="s">
        <v>1378</v>
      </c>
      <c r="H65" s="163" t="s">
        <v>1379</v>
      </c>
      <c r="I65" s="163"/>
      <c r="J65" s="163"/>
      <c r="K65" s="163"/>
      <c r="L65" s="163"/>
      <c r="M65" s="163">
        <v>2019</v>
      </c>
      <c r="N65" s="163" t="s">
        <v>202</v>
      </c>
      <c r="O65" s="164">
        <v>2019</v>
      </c>
      <c r="P65" s="163"/>
      <c r="Q65" s="163"/>
      <c r="R65" s="163" t="s">
        <v>1380</v>
      </c>
      <c r="S65" s="165" t="s">
        <v>1381</v>
      </c>
      <c r="T65" s="163" t="s">
        <v>241</v>
      </c>
      <c r="U65" s="163" t="s">
        <v>204</v>
      </c>
      <c r="V65" s="163" t="s">
        <v>200</v>
      </c>
      <c r="W65" s="166" t="s">
        <v>200</v>
      </c>
      <c r="X65" s="163">
        <v>18</v>
      </c>
      <c r="Y65" s="163">
        <v>18</v>
      </c>
      <c r="Z65" s="163">
        <v>18</v>
      </c>
      <c r="AA65" s="163"/>
      <c r="AB65" s="163"/>
      <c r="AC65" s="163"/>
      <c r="AD65" s="163"/>
      <c r="AE65" s="163"/>
      <c r="AF65" s="163"/>
      <c r="AG65" s="163"/>
      <c r="AH65" s="163"/>
      <c r="AI65" s="167"/>
      <c r="AJ65" s="163"/>
      <c r="AK65" s="163"/>
      <c r="AL65" s="163"/>
      <c r="AM65" s="163"/>
      <c r="AN65" s="163"/>
      <c r="AO65" s="163"/>
      <c r="AP65" s="163"/>
      <c r="AQ65" s="163"/>
      <c r="AR65" s="163"/>
      <c r="AS65" s="163"/>
      <c r="AT65" s="163"/>
      <c r="AU65" s="163">
        <v>3</v>
      </c>
      <c r="AV65" s="167">
        <v>11</v>
      </c>
      <c r="AW65" s="167" t="s">
        <v>1382</v>
      </c>
      <c r="AX65" s="163">
        <v>0</v>
      </c>
      <c r="AY65" s="163"/>
      <c r="AZ65" s="163">
        <v>0</v>
      </c>
      <c r="BA65" s="163"/>
      <c r="BB65" s="163">
        <v>4</v>
      </c>
      <c r="BC65" s="163" t="s">
        <v>1383</v>
      </c>
      <c r="BD65" s="163">
        <v>0</v>
      </c>
      <c r="BE65" s="163"/>
      <c r="BF65" s="163">
        <v>0</v>
      </c>
      <c r="BG65" s="163"/>
      <c r="BH65" s="163">
        <v>0</v>
      </c>
      <c r="BI65" s="163"/>
      <c r="BJ65" s="163">
        <v>0</v>
      </c>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7"/>
      <c r="CL65" s="163"/>
      <c r="CM65" s="163"/>
      <c r="CN65" s="163"/>
      <c r="CO65" s="163"/>
      <c r="CP65" s="163"/>
      <c r="CQ65" s="163"/>
      <c r="CR65" s="163"/>
      <c r="CS65" s="163"/>
      <c r="CT65" s="163"/>
      <c r="CU65" s="163"/>
      <c r="CV65" s="163"/>
      <c r="CW65" s="163"/>
      <c r="CX65" s="163"/>
      <c r="CY65" s="163"/>
      <c r="CZ65" s="163"/>
      <c r="DA65" s="163"/>
      <c r="DB65" s="163"/>
      <c r="DC65" s="163"/>
      <c r="DD65" s="163"/>
      <c r="DE65" s="163"/>
      <c r="DF65" s="163"/>
      <c r="DG65" s="167"/>
      <c r="DH65" s="167"/>
      <c r="DI65" s="167"/>
      <c r="DJ65" s="167"/>
      <c r="DK65" s="167"/>
      <c r="DL65" s="167"/>
      <c r="DM65" s="167"/>
      <c r="DN65" s="167"/>
      <c r="DO65" s="167"/>
      <c r="DP65" s="167"/>
      <c r="DQ65" s="167"/>
      <c r="DR65" s="167"/>
      <c r="DS65" s="167"/>
      <c r="DT65" s="167"/>
      <c r="DU65" s="167"/>
      <c r="DV65" s="167"/>
      <c r="DW65" s="163"/>
      <c r="DX65" s="163"/>
      <c r="DY65" s="163"/>
      <c r="DZ65" s="163"/>
      <c r="EA65" s="163"/>
      <c r="EB65" s="163"/>
      <c r="EC65" s="163"/>
      <c r="ED65" s="163"/>
      <c r="EE65" s="163"/>
      <c r="EF65" s="163"/>
      <c r="EG65" s="163"/>
      <c r="EH65" s="163"/>
      <c r="EI65" s="163"/>
      <c r="EJ65" s="163"/>
      <c r="EK65" s="163"/>
      <c r="EL65" s="163"/>
      <c r="EM65" s="163"/>
      <c r="EN65" s="163"/>
      <c r="EO65" s="163"/>
      <c r="EP65" s="163"/>
      <c r="EQ65" s="163" t="s">
        <v>200</v>
      </c>
      <c r="ER65" s="163" t="s">
        <v>1384</v>
      </c>
      <c r="ES65" s="168" t="s">
        <v>1385</v>
      </c>
      <c r="ET65" s="163" t="s">
        <v>225</v>
      </c>
      <c r="EU65" s="163"/>
      <c r="EV65" s="169" t="s">
        <v>371</v>
      </c>
      <c r="EW65" s="169" t="s">
        <v>371</v>
      </c>
      <c r="EX65" s="169" t="s">
        <v>371</v>
      </c>
      <c r="EY65" s="163" t="s">
        <v>262</v>
      </c>
      <c r="EZ65" s="163" t="s">
        <v>228</v>
      </c>
      <c r="FA65" s="163" t="s">
        <v>210</v>
      </c>
      <c r="FB65" s="163" t="s">
        <v>204</v>
      </c>
      <c r="FC65" s="163" t="s">
        <v>200</v>
      </c>
      <c r="FD65" s="163" t="s">
        <v>1386</v>
      </c>
      <c r="FE65" s="167">
        <f>AMSTAR!BG59</f>
        <v>14</v>
      </c>
      <c r="FF65" s="167">
        <f>AMSTAR!BF59</f>
        <v>11</v>
      </c>
      <c r="FG65" s="170">
        <f t="shared" si="4"/>
        <v>0.7857142857142857</v>
      </c>
    </row>
    <row r="66" spans="2:163">
      <c r="B66" s="17">
        <v>4957</v>
      </c>
      <c r="C66" s="163" t="s">
        <v>1387</v>
      </c>
      <c r="D66" s="163">
        <v>2015</v>
      </c>
      <c r="E66" s="163" t="s">
        <v>1388</v>
      </c>
      <c r="F66" s="163" t="s">
        <v>233</v>
      </c>
      <c r="G66" s="163" t="s">
        <v>1389</v>
      </c>
      <c r="H66" s="163" t="s">
        <v>198</v>
      </c>
      <c r="I66" s="163"/>
      <c r="J66" s="163"/>
      <c r="K66" s="163"/>
      <c r="L66" s="163"/>
      <c r="M66" s="172">
        <v>42036</v>
      </c>
      <c r="N66" s="163">
        <v>1998</v>
      </c>
      <c r="O66" s="164">
        <v>2015</v>
      </c>
      <c r="P66" s="163"/>
      <c r="Q66" s="163"/>
      <c r="R66" s="163" t="s">
        <v>1390</v>
      </c>
      <c r="S66" s="165" t="s">
        <v>1391</v>
      </c>
      <c r="T66" s="163" t="s">
        <v>207</v>
      </c>
      <c r="U66" s="163" t="s">
        <v>1372</v>
      </c>
      <c r="V66" s="163" t="s">
        <v>200</v>
      </c>
      <c r="W66" s="166" t="s">
        <v>200</v>
      </c>
      <c r="X66" s="163">
        <v>10</v>
      </c>
      <c r="Y66" s="163">
        <v>10</v>
      </c>
      <c r="Z66" s="163">
        <v>3</v>
      </c>
      <c r="AA66" s="163"/>
      <c r="AB66" s="163"/>
      <c r="AC66" s="163"/>
      <c r="AD66" s="163"/>
      <c r="AE66" s="163"/>
      <c r="AF66" s="163"/>
      <c r="AG66" s="163"/>
      <c r="AH66" s="163"/>
      <c r="AI66" s="167"/>
      <c r="AJ66" s="163"/>
      <c r="AK66" s="163"/>
      <c r="AL66" s="163"/>
      <c r="AM66" s="163"/>
      <c r="AN66" s="163"/>
      <c r="AO66" s="163"/>
      <c r="AP66" s="163"/>
      <c r="AQ66" s="163"/>
      <c r="AR66" s="163"/>
      <c r="AS66" s="163"/>
      <c r="AT66" s="163"/>
      <c r="AU66" s="163">
        <v>0</v>
      </c>
      <c r="AV66" s="167">
        <v>2</v>
      </c>
      <c r="AW66" s="167" t="s">
        <v>543</v>
      </c>
      <c r="AX66" s="163">
        <v>1</v>
      </c>
      <c r="AY66" s="163" t="s">
        <v>1392</v>
      </c>
      <c r="AZ66" s="163">
        <v>0</v>
      </c>
      <c r="BA66" s="163"/>
      <c r="BB66" s="163">
        <v>0</v>
      </c>
      <c r="BC66" s="163"/>
      <c r="BD66" s="163">
        <v>0</v>
      </c>
      <c r="BE66" s="163"/>
      <c r="BF66" s="163">
        <v>0</v>
      </c>
      <c r="BG66" s="163"/>
      <c r="BH66" s="163">
        <v>0</v>
      </c>
      <c r="BI66" s="163"/>
      <c r="BJ66" s="163">
        <v>0</v>
      </c>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7"/>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7"/>
      <c r="DH66" s="167"/>
      <c r="DI66" s="167"/>
      <c r="DJ66" s="167"/>
      <c r="DK66" s="167"/>
      <c r="DL66" s="167"/>
      <c r="DM66" s="167"/>
      <c r="DN66" s="167"/>
      <c r="DO66" s="167"/>
      <c r="DP66" s="167"/>
      <c r="DQ66" s="167"/>
      <c r="DR66" s="167"/>
      <c r="DS66" s="167"/>
      <c r="DT66" s="167"/>
      <c r="DU66" s="167"/>
      <c r="DV66" s="167"/>
      <c r="DW66" s="163"/>
      <c r="DX66" s="163"/>
      <c r="DY66" s="163"/>
      <c r="DZ66" s="163"/>
      <c r="EA66" s="163"/>
      <c r="EB66" s="163"/>
      <c r="EC66" s="163"/>
      <c r="ED66" s="163"/>
      <c r="EE66" s="163"/>
      <c r="EF66" s="163"/>
      <c r="EG66" s="163"/>
      <c r="EH66" s="163"/>
      <c r="EI66" s="163"/>
      <c r="EJ66" s="163"/>
      <c r="EK66" s="163"/>
      <c r="EL66" s="163"/>
      <c r="EM66" s="163"/>
      <c r="EN66" s="163"/>
      <c r="EO66" s="163"/>
      <c r="EP66" s="163"/>
      <c r="EQ66" s="163" t="s">
        <v>200</v>
      </c>
      <c r="ER66" s="163" t="s">
        <v>1393</v>
      </c>
      <c r="ES66" s="168" t="s">
        <v>657</v>
      </c>
      <c r="ET66" s="163" t="s">
        <v>292</v>
      </c>
      <c r="EU66" s="163" t="s">
        <v>1346</v>
      </c>
      <c r="EV66" s="169" t="s">
        <v>371</v>
      </c>
      <c r="EW66" s="169" t="s">
        <v>371</v>
      </c>
      <c r="EX66" s="169" t="s">
        <v>371</v>
      </c>
      <c r="EY66" s="163" t="s">
        <v>262</v>
      </c>
      <c r="EZ66" s="163" t="s">
        <v>420</v>
      </c>
      <c r="FA66" s="163" t="s">
        <v>200</v>
      </c>
      <c r="FB66" s="163" t="s">
        <v>1394</v>
      </c>
      <c r="FC66" s="163" t="s">
        <v>200</v>
      </c>
      <c r="FD66" s="163" t="s">
        <v>315</v>
      </c>
      <c r="FE66" s="167">
        <f>AMSTAR!BG60</f>
        <v>13</v>
      </c>
      <c r="FF66" s="167">
        <f>AMSTAR!BF60</f>
        <v>2.5</v>
      </c>
      <c r="FG66" s="170">
        <f t="shared" si="4"/>
        <v>0.19230769230769232</v>
      </c>
    </row>
    <row r="67" spans="2:163">
      <c r="B67" s="17">
        <v>4957</v>
      </c>
      <c r="C67" s="163" t="s">
        <v>1395</v>
      </c>
      <c r="D67" s="163">
        <v>2020</v>
      </c>
      <c r="E67" s="163" t="s">
        <v>1396</v>
      </c>
      <c r="F67" s="163" t="s">
        <v>233</v>
      </c>
      <c r="G67" s="163" t="s">
        <v>1397</v>
      </c>
      <c r="H67" s="163" t="s">
        <v>198</v>
      </c>
      <c r="I67" s="163"/>
      <c r="J67" s="163"/>
      <c r="K67" s="163"/>
      <c r="L67" s="163"/>
      <c r="M67" s="172">
        <v>43435</v>
      </c>
      <c r="N67" s="163">
        <v>1946</v>
      </c>
      <c r="O67" s="164">
        <v>2018</v>
      </c>
      <c r="P67" s="163"/>
      <c r="Q67" s="163"/>
      <c r="R67" s="163" t="s">
        <v>1398</v>
      </c>
      <c r="S67" s="165" t="s">
        <v>1399</v>
      </c>
      <c r="T67" s="163" t="s">
        <v>1400</v>
      </c>
      <c r="U67" s="163"/>
      <c r="V67" s="163" t="s">
        <v>200</v>
      </c>
      <c r="W67" s="166" t="s">
        <v>200</v>
      </c>
      <c r="X67" s="163">
        <v>30</v>
      </c>
      <c r="Y67" s="163">
        <v>30</v>
      </c>
      <c r="Z67" s="163">
        <v>8</v>
      </c>
      <c r="AA67" s="163"/>
      <c r="AB67" s="163"/>
      <c r="AC67" s="163"/>
      <c r="AD67" s="163"/>
      <c r="AE67" s="163"/>
      <c r="AF67" s="163"/>
      <c r="AG67" s="163"/>
      <c r="AH67" s="163"/>
      <c r="AI67" s="167"/>
      <c r="AJ67" s="163"/>
      <c r="AK67" s="163"/>
      <c r="AL67" s="163"/>
      <c r="AM67" s="163"/>
      <c r="AN67" s="163"/>
      <c r="AO67" s="163"/>
      <c r="AP67" s="163"/>
      <c r="AQ67" s="163"/>
      <c r="AR67" s="163"/>
      <c r="AS67" s="163"/>
      <c r="AT67" s="163"/>
      <c r="AU67" s="163">
        <v>4</v>
      </c>
      <c r="AV67" s="167">
        <v>0</v>
      </c>
      <c r="AW67" s="167"/>
      <c r="AX67" s="163">
        <v>0</v>
      </c>
      <c r="AY67" s="163"/>
      <c r="AZ67" s="163">
        <v>0</v>
      </c>
      <c r="BA67" s="163"/>
      <c r="BB67" s="163">
        <v>4</v>
      </c>
      <c r="BC67" s="163"/>
      <c r="BD67" s="163">
        <v>0</v>
      </c>
      <c r="BE67" s="163"/>
      <c r="BF67" s="163">
        <v>0</v>
      </c>
      <c r="BG67" s="163"/>
      <c r="BH67" s="163">
        <v>1</v>
      </c>
      <c r="BI67" s="163" t="s">
        <v>1401</v>
      </c>
      <c r="BJ67" s="163">
        <v>0</v>
      </c>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7"/>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7"/>
      <c r="DH67" s="167"/>
      <c r="DI67" s="167"/>
      <c r="DJ67" s="167"/>
      <c r="DK67" s="167"/>
      <c r="DL67" s="167"/>
      <c r="DM67" s="167"/>
      <c r="DN67" s="167"/>
      <c r="DO67" s="167"/>
      <c r="DP67" s="167"/>
      <c r="DQ67" s="167"/>
      <c r="DR67" s="167"/>
      <c r="DS67" s="167"/>
      <c r="DT67" s="167"/>
      <c r="DU67" s="167"/>
      <c r="DV67" s="167"/>
      <c r="DW67" s="163"/>
      <c r="DX67" s="163"/>
      <c r="DY67" s="163"/>
      <c r="DZ67" s="163"/>
      <c r="EA67" s="163"/>
      <c r="EB67" s="163"/>
      <c r="EC67" s="163"/>
      <c r="ED67" s="163"/>
      <c r="EE67" s="163"/>
      <c r="EF67" s="163"/>
      <c r="EG67" s="163"/>
      <c r="EH67" s="163"/>
      <c r="EI67" s="163"/>
      <c r="EJ67" s="163"/>
      <c r="EK67" s="163"/>
      <c r="EL67" s="163"/>
      <c r="EM67" s="163"/>
      <c r="EN67" s="163"/>
      <c r="EO67" s="163"/>
      <c r="EP67" s="163"/>
      <c r="EQ67" s="163" t="s">
        <v>200</v>
      </c>
      <c r="ER67" s="163" t="s">
        <v>1402</v>
      </c>
      <c r="ES67" s="168" t="s">
        <v>657</v>
      </c>
      <c r="ET67" s="163" t="s">
        <v>292</v>
      </c>
      <c r="EU67" s="163" t="s">
        <v>1403</v>
      </c>
      <c r="EV67" s="169" t="s">
        <v>371</v>
      </c>
      <c r="EW67" s="169" t="s">
        <v>371</v>
      </c>
      <c r="EX67" s="169" t="s">
        <v>371</v>
      </c>
      <c r="EY67" s="163" t="s">
        <v>227</v>
      </c>
      <c r="EZ67" s="163" t="s">
        <v>420</v>
      </c>
      <c r="FA67" s="163" t="s">
        <v>200</v>
      </c>
      <c r="FB67" s="163" t="s">
        <v>1404</v>
      </c>
      <c r="FC67" s="163" t="s">
        <v>200</v>
      </c>
      <c r="FD67" s="163" t="s">
        <v>315</v>
      </c>
      <c r="FE67" s="167">
        <f>AMSTAR!BG61</f>
        <v>13</v>
      </c>
      <c r="FF67" s="167">
        <f>AMSTAR!BF61</f>
        <v>9.5</v>
      </c>
      <c r="FG67" s="170">
        <f t="shared" si="4"/>
        <v>0.73076923076923073</v>
      </c>
    </row>
    <row r="68" spans="2:163">
      <c r="B68" s="17">
        <v>4957</v>
      </c>
      <c r="C68" s="163" t="s">
        <v>1405</v>
      </c>
      <c r="D68" s="163">
        <v>2014</v>
      </c>
      <c r="E68" s="163" t="s">
        <v>1406</v>
      </c>
      <c r="F68" s="171" t="s">
        <v>446</v>
      </c>
      <c r="G68" s="163" t="s">
        <v>1407</v>
      </c>
      <c r="H68" s="163" t="s">
        <v>198</v>
      </c>
      <c r="I68" s="163"/>
      <c r="J68" s="163"/>
      <c r="K68" s="163"/>
      <c r="L68" s="163"/>
      <c r="M68" s="172">
        <v>41244</v>
      </c>
      <c r="N68" s="163" t="s">
        <v>202</v>
      </c>
      <c r="O68" s="164">
        <v>2012</v>
      </c>
      <c r="P68" s="163"/>
      <c r="Q68" s="163"/>
      <c r="R68" s="163" t="s">
        <v>1408</v>
      </c>
      <c r="S68" s="165"/>
      <c r="T68" s="163" t="s">
        <v>1400</v>
      </c>
      <c r="U68" s="163"/>
      <c r="V68" s="163" t="s">
        <v>200</v>
      </c>
      <c r="W68" s="166" t="s">
        <v>200</v>
      </c>
      <c r="X68" s="163">
        <v>14</v>
      </c>
      <c r="Y68" s="163">
        <v>14</v>
      </c>
      <c r="Z68" s="163">
        <v>5</v>
      </c>
      <c r="AA68" s="163"/>
      <c r="AB68" s="163"/>
      <c r="AC68" s="163"/>
      <c r="AD68" s="163"/>
      <c r="AE68" s="163"/>
      <c r="AF68" s="163"/>
      <c r="AG68" s="163"/>
      <c r="AH68" s="163"/>
      <c r="AI68" s="167"/>
      <c r="AJ68" s="163"/>
      <c r="AK68" s="163"/>
      <c r="AL68" s="163"/>
      <c r="AM68" s="163"/>
      <c r="AN68" s="163"/>
      <c r="AO68" s="163"/>
      <c r="AP68" s="163"/>
      <c r="AQ68" s="163"/>
      <c r="AR68" s="163"/>
      <c r="AS68" s="163"/>
      <c r="AT68" s="163"/>
      <c r="AU68" s="163">
        <v>0</v>
      </c>
      <c r="AV68" s="167">
        <v>0</v>
      </c>
      <c r="AW68" s="167"/>
      <c r="AX68" s="163">
        <v>1</v>
      </c>
      <c r="AY68" s="163" t="s">
        <v>937</v>
      </c>
      <c r="AZ68" s="163">
        <v>0</v>
      </c>
      <c r="BA68" s="163"/>
      <c r="BB68" s="163">
        <v>4</v>
      </c>
      <c r="BC68" s="163" t="s">
        <v>591</v>
      </c>
      <c r="BD68" s="163">
        <v>0</v>
      </c>
      <c r="BE68" s="163"/>
      <c r="BF68" s="163">
        <v>0</v>
      </c>
      <c r="BG68" s="163"/>
      <c r="BH68" s="163">
        <v>0</v>
      </c>
      <c r="BI68" s="163"/>
      <c r="BJ68" s="163">
        <v>0</v>
      </c>
      <c r="BK68" s="163"/>
      <c r="BL68" s="163"/>
      <c r="BM68" s="163"/>
      <c r="BN68" s="163"/>
      <c r="BO68" s="163"/>
      <c r="BP68" s="163"/>
      <c r="BQ68" s="163"/>
      <c r="BR68" s="163"/>
      <c r="BS68" s="163"/>
      <c r="BT68" s="163"/>
      <c r="BU68" s="163"/>
      <c r="BV68" s="163"/>
      <c r="BW68" s="163"/>
      <c r="BX68" s="163"/>
      <c r="BY68" s="163"/>
      <c r="BZ68" s="163"/>
      <c r="CA68" s="163"/>
      <c r="CB68" s="163"/>
      <c r="CC68" s="163"/>
      <c r="CD68" s="163"/>
      <c r="CE68" s="163"/>
      <c r="CF68" s="163"/>
      <c r="CG68" s="163"/>
      <c r="CH68" s="163"/>
      <c r="CI68" s="163"/>
      <c r="CJ68" s="163"/>
      <c r="CK68" s="167"/>
      <c r="CL68" s="163"/>
      <c r="CM68" s="163"/>
      <c r="CN68" s="163"/>
      <c r="CO68" s="163"/>
      <c r="CP68" s="163"/>
      <c r="CQ68" s="163"/>
      <c r="CR68" s="163"/>
      <c r="CS68" s="163"/>
      <c r="CT68" s="163"/>
      <c r="CU68" s="163"/>
      <c r="CV68" s="163"/>
      <c r="CW68" s="163"/>
      <c r="CX68" s="163"/>
      <c r="CY68" s="163"/>
      <c r="CZ68" s="163"/>
      <c r="DA68" s="163"/>
      <c r="DB68" s="163"/>
      <c r="DC68" s="163"/>
      <c r="DD68" s="163"/>
      <c r="DE68" s="163"/>
      <c r="DF68" s="163"/>
      <c r="DG68" s="167"/>
      <c r="DH68" s="167"/>
      <c r="DI68" s="167"/>
      <c r="DJ68" s="167"/>
      <c r="DK68" s="167"/>
      <c r="DL68" s="167"/>
      <c r="DM68" s="167"/>
      <c r="DN68" s="167"/>
      <c r="DO68" s="167"/>
      <c r="DP68" s="167"/>
      <c r="DQ68" s="167"/>
      <c r="DR68" s="167"/>
      <c r="DS68" s="167"/>
      <c r="DT68" s="167"/>
      <c r="DU68" s="167"/>
      <c r="DV68" s="167"/>
      <c r="DW68" s="163"/>
      <c r="DX68" s="163"/>
      <c r="DY68" s="163"/>
      <c r="DZ68" s="163"/>
      <c r="EA68" s="163"/>
      <c r="EB68" s="163"/>
      <c r="EC68" s="163"/>
      <c r="ED68" s="163"/>
      <c r="EE68" s="163"/>
      <c r="EF68" s="163"/>
      <c r="EG68" s="163"/>
      <c r="EH68" s="163"/>
      <c r="EI68" s="163"/>
      <c r="EJ68" s="163"/>
      <c r="EK68" s="163"/>
      <c r="EL68" s="163"/>
      <c r="EM68" s="163"/>
      <c r="EN68" s="163"/>
      <c r="EO68" s="163"/>
      <c r="EP68" s="163"/>
      <c r="EQ68" s="163" t="s">
        <v>200</v>
      </c>
      <c r="ER68" s="163" t="s">
        <v>1409</v>
      </c>
      <c r="ES68" s="168" t="s">
        <v>241</v>
      </c>
      <c r="ET68" s="163" t="s">
        <v>225</v>
      </c>
      <c r="EU68" s="163" t="s">
        <v>1410</v>
      </c>
      <c r="EV68" s="169" t="s">
        <v>208</v>
      </c>
      <c r="EW68" s="169" t="s">
        <v>203</v>
      </c>
      <c r="EX68" s="173" t="s">
        <v>1411</v>
      </c>
      <c r="EY68" s="163" t="s">
        <v>227</v>
      </c>
      <c r="EZ68" s="163" t="s">
        <v>420</v>
      </c>
      <c r="FA68" s="163" t="s">
        <v>200</v>
      </c>
      <c r="FB68" s="163" t="s">
        <v>1412</v>
      </c>
      <c r="FC68" s="163" t="s">
        <v>200</v>
      </c>
      <c r="FD68" s="163" t="s">
        <v>315</v>
      </c>
      <c r="FE68" s="167">
        <f>AMSTAR!BG62</f>
        <v>16</v>
      </c>
      <c r="FF68" s="167">
        <f>AMSTAR!BF62</f>
        <v>11</v>
      </c>
      <c r="FG68" s="170">
        <f t="shared" si="4"/>
        <v>0.6875</v>
      </c>
    </row>
    <row r="69" spans="2:163">
      <c r="B69" s="17">
        <v>4957</v>
      </c>
      <c r="C69" s="163" t="s">
        <v>1413</v>
      </c>
      <c r="D69" s="163">
        <v>2020</v>
      </c>
      <c r="E69" s="163" t="s">
        <v>1414</v>
      </c>
      <c r="F69" s="171" t="s">
        <v>446</v>
      </c>
      <c r="G69" s="163" t="s">
        <v>1415</v>
      </c>
      <c r="H69" s="163" t="s">
        <v>198</v>
      </c>
      <c r="I69" s="163"/>
      <c r="J69" s="163"/>
      <c r="K69" s="163"/>
      <c r="L69" s="163"/>
      <c r="M69" s="172">
        <v>42095</v>
      </c>
      <c r="N69" s="163" t="s">
        <v>202</v>
      </c>
      <c r="O69" s="164">
        <v>2015</v>
      </c>
      <c r="P69" s="163"/>
      <c r="Q69" s="163"/>
      <c r="R69" s="163" t="s">
        <v>1416</v>
      </c>
      <c r="S69" s="165" t="s">
        <v>1417</v>
      </c>
      <c r="T69" s="163" t="s">
        <v>1400</v>
      </c>
      <c r="U69" s="163"/>
      <c r="V69" s="163" t="s">
        <v>200</v>
      </c>
      <c r="W69" s="166" t="s">
        <v>200</v>
      </c>
      <c r="X69" s="163">
        <v>23</v>
      </c>
      <c r="Y69" s="163">
        <v>23</v>
      </c>
      <c r="Z69" s="163">
        <v>11</v>
      </c>
      <c r="AA69" s="163"/>
      <c r="AB69" s="163"/>
      <c r="AC69" s="163"/>
      <c r="AD69" s="163"/>
      <c r="AE69" s="163"/>
      <c r="AF69" s="163"/>
      <c r="AG69" s="163"/>
      <c r="AH69" s="163"/>
      <c r="AI69" s="167"/>
      <c r="AJ69" s="163"/>
      <c r="AK69" s="163"/>
      <c r="AL69" s="163"/>
      <c r="AM69" s="163"/>
      <c r="AN69" s="163"/>
      <c r="AO69" s="163"/>
      <c r="AP69" s="163"/>
      <c r="AQ69" s="163"/>
      <c r="AR69" s="163"/>
      <c r="AS69" s="163"/>
      <c r="AT69" s="163"/>
      <c r="AU69" s="163">
        <v>1</v>
      </c>
      <c r="AV69" s="167">
        <v>2</v>
      </c>
      <c r="AW69" s="167" t="s">
        <v>543</v>
      </c>
      <c r="AX69" s="163">
        <v>1</v>
      </c>
      <c r="AY69" s="163" t="s">
        <v>1418</v>
      </c>
      <c r="AZ69" s="163">
        <v>0</v>
      </c>
      <c r="BA69" s="163"/>
      <c r="BB69" s="163">
        <v>6</v>
      </c>
      <c r="BC69" s="163" t="s">
        <v>1419</v>
      </c>
      <c r="BD69" s="163">
        <v>0</v>
      </c>
      <c r="BE69" s="163"/>
      <c r="BF69" s="163">
        <v>0</v>
      </c>
      <c r="BG69" s="163"/>
      <c r="BH69" s="163">
        <v>1</v>
      </c>
      <c r="BI69" s="163" t="s">
        <v>1401</v>
      </c>
      <c r="BJ69" s="163">
        <v>0</v>
      </c>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7"/>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7"/>
      <c r="DH69" s="167"/>
      <c r="DI69" s="167"/>
      <c r="DJ69" s="167"/>
      <c r="DK69" s="167"/>
      <c r="DL69" s="167"/>
      <c r="DM69" s="167"/>
      <c r="DN69" s="167"/>
      <c r="DO69" s="167"/>
      <c r="DP69" s="167"/>
      <c r="DQ69" s="167"/>
      <c r="DR69" s="167"/>
      <c r="DS69" s="167"/>
      <c r="DT69" s="167"/>
      <c r="DU69" s="167"/>
      <c r="DV69" s="167"/>
      <c r="DW69" s="163"/>
      <c r="DX69" s="163"/>
      <c r="DY69" s="163"/>
      <c r="DZ69" s="163"/>
      <c r="EA69" s="163"/>
      <c r="EB69" s="163"/>
      <c r="EC69" s="163"/>
      <c r="ED69" s="163"/>
      <c r="EE69" s="163"/>
      <c r="EF69" s="163"/>
      <c r="EG69" s="163"/>
      <c r="EH69" s="163"/>
      <c r="EI69" s="163"/>
      <c r="EJ69" s="163"/>
      <c r="EK69" s="163"/>
      <c r="EL69" s="163"/>
      <c r="EM69" s="163"/>
      <c r="EN69" s="163"/>
      <c r="EO69" s="163"/>
      <c r="EP69" s="163"/>
      <c r="EQ69" s="163" t="s">
        <v>200</v>
      </c>
      <c r="ER69" s="163" t="s">
        <v>1420</v>
      </c>
      <c r="ES69" s="168" t="s">
        <v>1421</v>
      </c>
      <c r="ET69" s="163" t="s">
        <v>225</v>
      </c>
      <c r="EU69" s="163"/>
      <c r="EV69" s="169" t="s">
        <v>208</v>
      </c>
      <c r="EW69" s="169" t="s">
        <v>203</v>
      </c>
      <c r="EX69" s="173" t="s">
        <v>1422</v>
      </c>
      <c r="EY69" s="163" t="s">
        <v>227</v>
      </c>
      <c r="EZ69" s="163" t="s">
        <v>228</v>
      </c>
      <c r="FA69" s="163" t="s">
        <v>200</v>
      </c>
      <c r="FB69" s="163" t="s">
        <v>1423</v>
      </c>
      <c r="FC69" s="163" t="s">
        <v>200</v>
      </c>
      <c r="FD69" s="163" t="s">
        <v>315</v>
      </c>
      <c r="FE69" s="167">
        <f>AMSTAR!BG63</f>
        <v>16</v>
      </c>
      <c r="FF69" s="167">
        <f>AMSTAR!BF63</f>
        <v>8</v>
      </c>
      <c r="FG69" s="170">
        <f t="shared" si="4"/>
        <v>0.5</v>
      </c>
    </row>
    <row r="70" spans="2:163">
      <c r="B70" s="17">
        <v>4957</v>
      </c>
      <c r="C70" s="163" t="s">
        <v>1424</v>
      </c>
      <c r="D70" s="163">
        <v>2013</v>
      </c>
      <c r="E70" s="163" t="s">
        <v>1425</v>
      </c>
      <c r="F70" s="163" t="s">
        <v>1426</v>
      </c>
      <c r="G70" s="163" t="s">
        <v>1427</v>
      </c>
      <c r="H70" s="163" t="s">
        <v>1428</v>
      </c>
      <c r="I70" s="163"/>
      <c r="J70" s="163"/>
      <c r="K70" s="163"/>
      <c r="L70" s="163"/>
      <c r="M70" s="163"/>
      <c r="N70" s="163"/>
      <c r="O70" s="164"/>
      <c r="P70" s="163"/>
      <c r="Q70" s="163"/>
      <c r="R70" s="163"/>
      <c r="S70" s="165"/>
      <c r="T70" s="163"/>
      <c r="U70" s="163"/>
      <c r="V70" s="163"/>
      <c r="W70" s="166"/>
      <c r="X70" s="163">
        <v>11</v>
      </c>
      <c r="Y70" s="163">
        <v>11</v>
      </c>
      <c r="Z70" s="163">
        <v>4</v>
      </c>
      <c r="AA70" s="163" t="s">
        <v>1429</v>
      </c>
      <c r="AB70" s="163"/>
      <c r="AC70" s="163"/>
      <c r="AD70" s="163"/>
      <c r="AE70" s="163"/>
      <c r="AF70" s="163"/>
      <c r="AG70" s="163"/>
      <c r="AH70" s="163"/>
      <c r="AI70" s="167"/>
      <c r="AJ70" s="163"/>
      <c r="AK70" s="163"/>
      <c r="AL70" s="163"/>
      <c r="AM70" s="163"/>
      <c r="AN70" s="163"/>
      <c r="AO70" s="163"/>
      <c r="AP70" s="163"/>
      <c r="AQ70" s="163"/>
      <c r="AR70" s="163"/>
      <c r="AS70" s="163"/>
      <c r="AT70" s="163"/>
      <c r="AU70" s="163"/>
      <c r="AV70" s="167"/>
      <c r="AW70" s="167"/>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7"/>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7"/>
      <c r="DH70" s="167"/>
      <c r="DI70" s="167"/>
      <c r="DJ70" s="167"/>
      <c r="DK70" s="167"/>
      <c r="DL70" s="167"/>
      <c r="DM70" s="167"/>
      <c r="DN70" s="167"/>
      <c r="DO70" s="167"/>
      <c r="DP70" s="167"/>
      <c r="DQ70" s="167"/>
      <c r="DR70" s="167"/>
      <c r="DS70" s="167"/>
      <c r="DT70" s="167"/>
      <c r="DU70" s="167"/>
      <c r="DV70" s="167"/>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8"/>
      <c r="ET70" s="163"/>
      <c r="EU70" s="163"/>
      <c r="EV70" s="169"/>
      <c r="EW70" s="169"/>
      <c r="EX70" s="169"/>
      <c r="EY70" s="163"/>
      <c r="EZ70" s="163"/>
      <c r="FA70" s="163"/>
      <c r="FB70" s="163"/>
      <c r="FC70" s="163"/>
      <c r="FD70" s="163"/>
      <c r="FE70" s="167"/>
      <c r="FF70" s="167"/>
      <c r="FG70" s="170"/>
    </row>
    <row r="71" spans="2:163">
      <c r="B71" s="17">
        <v>4957</v>
      </c>
      <c r="C71" s="93"/>
      <c r="D71" s="93"/>
      <c r="E71" s="93"/>
      <c r="F71" s="93"/>
      <c r="G71" s="93"/>
      <c r="H71" s="93"/>
      <c r="I71" s="93"/>
      <c r="J71" s="93"/>
      <c r="K71" s="93"/>
      <c r="L71" s="93"/>
      <c r="M71" s="93"/>
      <c r="N71" s="93"/>
      <c r="O71" s="106"/>
      <c r="P71" s="93"/>
      <c r="Q71" s="93"/>
      <c r="R71" s="93"/>
      <c r="S71" s="107"/>
      <c r="T71" s="93"/>
      <c r="U71" s="93"/>
      <c r="V71" s="93"/>
      <c r="W71" s="108"/>
      <c r="X71" s="93"/>
      <c r="Y71" s="93"/>
      <c r="Z71" s="93"/>
      <c r="AA71" s="93"/>
      <c r="AB71" s="93"/>
      <c r="AC71" s="93"/>
      <c r="AD71" s="93"/>
      <c r="AE71" s="93"/>
      <c r="AF71" s="93"/>
      <c r="AG71" s="93"/>
      <c r="AH71" s="93"/>
      <c r="AI71" s="5"/>
      <c r="AJ71" s="93"/>
      <c r="AK71" s="93"/>
      <c r="AL71" s="93"/>
      <c r="AM71" s="93"/>
      <c r="AN71" s="93"/>
      <c r="AO71" s="93"/>
      <c r="AP71" s="93"/>
      <c r="AQ71" s="93"/>
      <c r="AR71" s="93"/>
      <c r="AS71" s="93"/>
      <c r="AT71" s="93"/>
      <c r="AU71" s="93"/>
      <c r="AV71" s="5"/>
      <c r="AW71" s="5"/>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5"/>
      <c r="CL71" s="93"/>
      <c r="CM71" s="93"/>
      <c r="CN71" s="93"/>
      <c r="CO71" s="93"/>
      <c r="CP71" s="93"/>
      <c r="CQ71" s="93"/>
      <c r="CR71" s="93"/>
      <c r="CS71" s="93"/>
      <c r="CT71" s="93"/>
      <c r="CU71" s="93"/>
      <c r="CV71" s="93"/>
      <c r="CW71" s="93"/>
      <c r="CX71" s="93"/>
      <c r="CY71" s="93"/>
      <c r="CZ71" s="93"/>
      <c r="DA71" s="93"/>
      <c r="DB71" s="93"/>
      <c r="DC71" s="93"/>
      <c r="DD71" s="93"/>
      <c r="DE71" s="93"/>
      <c r="DF71" s="93"/>
      <c r="DG71" s="5"/>
      <c r="DH71" s="5"/>
      <c r="DI71" s="5"/>
      <c r="DJ71" s="5"/>
      <c r="DK71" s="5"/>
      <c r="DL71" s="5"/>
      <c r="DM71" s="5"/>
      <c r="DN71" s="5"/>
      <c r="DO71" s="5"/>
      <c r="DP71" s="5"/>
      <c r="DQ71" s="5"/>
      <c r="DR71" s="5"/>
      <c r="DS71" s="5"/>
      <c r="DT71" s="5"/>
      <c r="DU71" s="5"/>
      <c r="DV71" s="5"/>
      <c r="DW71" s="93"/>
      <c r="DX71" s="93"/>
      <c r="DY71" s="93"/>
      <c r="DZ71" s="93"/>
      <c r="EA71" s="93"/>
      <c r="EB71" s="93"/>
      <c r="EC71" s="93"/>
      <c r="ED71" s="93"/>
      <c r="EE71" s="93"/>
      <c r="EF71" s="93"/>
      <c r="EG71" s="93"/>
      <c r="EH71" s="93"/>
      <c r="EI71" s="93"/>
      <c r="EJ71" s="93"/>
      <c r="EK71" s="93"/>
      <c r="EL71" s="93"/>
      <c r="EM71" s="93"/>
      <c r="EN71" s="93"/>
      <c r="EO71" s="93"/>
      <c r="EP71" s="93"/>
      <c r="EQ71" s="93"/>
      <c r="ER71" s="93"/>
      <c r="ES71" s="109"/>
      <c r="ET71" s="93"/>
      <c r="EU71" s="93"/>
      <c r="EV71" s="80"/>
      <c r="EW71" s="80"/>
      <c r="EX71" s="80"/>
      <c r="EY71" s="93"/>
      <c r="EZ71" s="93"/>
      <c r="FA71" s="93"/>
      <c r="FB71" s="93"/>
      <c r="FC71" s="93"/>
      <c r="FD71" s="93"/>
      <c r="FE71" s="5"/>
      <c r="FF71" s="5"/>
      <c r="FG71" s="34"/>
    </row>
    <row r="72" spans="2:163">
      <c r="B72" s="17">
        <v>4957</v>
      </c>
      <c r="C72" s="93"/>
      <c r="D72" s="93"/>
      <c r="E72" s="93"/>
      <c r="F72" s="93"/>
      <c r="G72" s="93"/>
      <c r="H72" s="93"/>
      <c r="I72" s="93"/>
      <c r="J72" s="93"/>
      <c r="K72" s="93"/>
      <c r="L72" s="93"/>
      <c r="M72" s="93"/>
      <c r="N72" s="93"/>
      <c r="O72" s="106"/>
      <c r="P72" s="93"/>
      <c r="Q72" s="93"/>
      <c r="R72" s="93"/>
      <c r="S72" s="107"/>
      <c r="T72" s="93"/>
      <c r="U72" s="93"/>
      <c r="V72" s="93"/>
      <c r="W72" s="108"/>
      <c r="X72" s="93"/>
      <c r="Y72" s="93"/>
      <c r="Z72" s="93"/>
      <c r="AA72" s="93"/>
      <c r="AB72" s="93"/>
      <c r="AC72" s="93"/>
      <c r="AD72" s="93"/>
      <c r="AE72" s="93"/>
      <c r="AF72" s="93"/>
      <c r="AG72" s="93"/>
      <c r="AH72" s="93"/>
      <c r="AI72" s="5"/>
      <c r="AJ72" s="93"/>
      <c r="AK72" s="93"/>
      <c r="AL72" s="93"/>
      <c r="AM72" s="93"/>
      <c r="AN72" s="93"/>
      <c r="AO72" s="93"/>
      <c r="AP72" s="93"/>
      <c r="AQ72" s="93"/>
      <c r="AR72" s="93"/>
      <c r="AS72" s="93"/>
      <c r="AT72" s="93"/>
      <c r="AU72" s="93"/>
      <c r="AV72" s="5"/>
      <c r="AW72" s="5"/>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5"/>
      <c r="CL72" s="93"/>
      <c r="CM72" s="93"/>
      <c r="CN72" s="93"/>
      <c r="CO72" s="93"/>
      <c r="CP72" s="93"/>
      <c r="CQ72" s="93"/>
      <c r="CR72" s="93"/>
      <c r="CS72" s="93"/>
      <c r="CT72" s="93"/>
      <c r="CU72" s="93"/>
      <c r="CV72" s="93"/>
      <c r="CW72" s="93"/>
      <c r="CX72" s="93"/>
      <c r="CY72" s="93"/>
      <c r="CZ72" s="93"/>
      <c r="DA72" s="93"/>
      <c r="DB72" s="93"/>
      <c r="DC72" s="93"/>
      <c r="DD72" s="93"/>
      <c r="DE72" s="93"/>
      <c r="DF72" s="93"/>
      <c r="DG72" s="5"/>
      <c r="DH72" s="5"/>
      <c r="DI72" s="5"/>
      <c r="DJ72" s="5"/>
      <c r="DK72" s="5"/>
      <c r="DL72" s="5"/>
      <c r="DM72" s="5"/>
      <c r="DN72" s="5"/>
      <c r="DO72" s="5"/>
      <c r="DP72" s="5"/>
      <c r="DQ72" s="5"/>
      <c r="DR72" s="5"/>
      <c r="DS72" s="5"/>
      <c r="DT72" s="5"/>
      <c r="DU72" s="5"/>
      <c r="DV72" s="5"/>
      <c r="DW72" s="93"/>
      <c r="DX72" s="93"/>
      <c r="DY72" s="93"/>
      <c r="DZ72" s="93"/>
      <c r="EA72" s="93"/>
      <c r="EB72" s="93"/>
      <c r="EC72" s="93"/>
      <c r="ED72" s="93"/>
      <c r="EE72" s="93"/>
      <c r="EF72" s="93"/>
      <c r="EG72" s="93"/>
      <c r="EH72" s="93"/>
      <c r="EI72" s="93"/>
      <c r="EJ72" s="93"/>
      <c r="EK72" s="93"/>
      <c r="EL72" s="93"/>
      <c r="EM72" s="93"/>
      <c r="EN72" s="93"/>
      <c r="EO72" s="93"/>
      <c r="EP72" s="93"/>
      <c r="EQ72" s="93"/>
      <c r="ER72" s="93"/>
      <c r="ES72" s="109"/>
      <c r="ET72" s="93"/>
      <c r="EU72" s="93"/>
      <c r="EV72" s="80"/>
      <c r="EW72" s="80"/>
      <c r="EX72" s="80"/>
      <c r="EY72" s="93"/>
      <c r="EZ72" s="93"/>
      <c r="FA72" s="93"/>
      <c r="FB72" s="93"/>
      <c r="FC72" s="93"/>
      <c r="FD72" s="93"/>
      <c r="FE72" s="5"/>
      <c r="FF72" s="5"/>
      <c r="FG72" s="34"/>
    </row>
    <row r="73" spans="2:163">
      <c r="B73" s="17">
        <v>4957</v>
      </c>
      <c r="C73" s="93"/>
      <c r="D73" s="93"/>
      <c r="E73" s="93"/>
      <c r="F73" s="93"/>
      <c r="G73" s="93"/>
      <c r="H73" s="93"/>
      <c r="I73" s="93"/>
      <c r="J73" s="93"/>
      <c r="K73" s="93"/>
      <c r="L73" s="93"/>
      <c r="M73" s="93"/>
      <c r="N73" s="93"/>
      <c r="O73" s="106"/>
      <c r="P73" s="93"/>
      <c r="Q73" s="93"/>
      <c r="R73" s="93"/>
      <c r="S73" s="107"/>
      <c r="T73" s="93"/>
      <c r="U73" s="93"/>
      <c r="V73" s="93"/>
      <c r="W73" s="108"/>
      <c r="X73" s="93"/>
      <c r="Y73" s="93"/>
      <c r="Z73" s="93"/>
      <c r="AA73" s="93"/>
      <c r="AB73" s="93"/>
      <c r="AC73" s="93"/>
      <c r="AD73" s="93"/>
      <c r="AE73" s="93"/>
      <c r="AF73" s="93"/>
      <c r="AG73" s="93"/>
      <c r="AH73" s="93"/>
      <c r="AI73" s="5"/>
      <c r="AJ73" s="93"/>
      <c r="AK73" s="93"/>
      <c r="AL73" s="93"/>
      <c r="AM73" s="93"/>
      <c r="AN73" s="93"/>
      <c r="AO73" s="93"/>
      <c r="AP73" s="93"/>
      <c r="AQ73" s="93"/>
      <c r="AR73" s="93"/>
      <c r="AS73" s="93"/>
      <c r="AT73" s="93"/>
      <c r="AU73" s="93"/>
      <c r="AV73" s="5"/>
      <c r="AW73" s="5"/>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5"/>
      <c r="CL73" s="93"/>
      <c r="CM73" s="93"/>
      <c r="CN73" s="93"/>
      <c r="CO73" s="93"/>
      <c r="CP73" s="93"/>
      <c r="CQ73" s="93"/>
      <c r="CR73" s="93"/>
      <c r="CS73" s="93"/>
      <c r="CT73" s="93"/>
      <c r="CU73" s="93"/>
      <c r="CV73" s="93"/>
      <c r="CW73" s="93"/>
      <c r="CX73" s="93"/>
      <c r="CY73" s="93"/>
      <c r="CZ73" s="93"/>
      <c r="DA73" s="93"/>
      <c r="DB73" s="93"/>
      <c r="DC73" s="93"/>
      <c r="DD73" s="93"/>
      <c r="DE73" s="93"/>
      <c r="DF73" s="93"/>
      <c r="DG73" s="5"/>
      <c r="DH73" s="5"/>
      <c r="DI73" s="5"/>
      <c r="DJ73" s="5"/>
      <c r="DK73" s="5"/>
      <c r="DL73" s="5"/>
      <c r="DM73" s="5"/>
      <c r="DN73" s="5"/>
      <c r="DO73" s="5"/>
      <c r="DP73" s="5"/>
      <c r="DQ73" s="5"/>
      <c r="DR73" s="5"/>
      <c r="DS73" s="5"/>
      <c r="DT73" s="5"/>
      <c r="DU73" s="5"/>
      <c r="DV73" s="5"/>
      <c r="DW73" s="93"/>
      <c r="DX73" s="93"/>
      <c r="DY73" s="93"/>
      <c r="DZ73" s="93"/>
      <c r="EA73" s="93"/>
      <c r="EB73" s="93"/>
      <c r="EC73" s="93"/>
      <c r="ED73" s="93"/>
      <c r="EE73" s="93"/>
      <c r="EF73" s="93"/>
      <c r="EG73" s="93"/>
      <c r="EH73" s="93"/>
      <c r="EI73" s="93"/>
      <c r="EJ73" s="93"/>
      <c r="EK73" s="93"/>
      <c r="EL73" s="93"/>
      <c r="EM73" s="93"/>
      <c r="EN73" s="93"/>
      <c r="EO73" s="93"/>
      <c r="EP73" s="93"/>
      <c r="EQ73" s="93"/>
      <c r="ER73" s="93"/>
      <c r="ES73" s="109"/>
      <c r="ET73" s="93"/>
      <c r="EU73" s="93"/>
      <c r="EV73" s="80"/>
      <c r="EW73" s="80"/>
      <c r="EX73" s="80"/>
      <c r="EY73" s="93"/>
      <c r="EZ73" s="93"/>
      <c r="FA73" s="93"/>
      <c r="FB73" s="93"/>
      <c r="FC73" s="93"/>
      <c r="FD73" s="93"/>
      <c r="FE73" s="5"/>
      <c r="FF73" s="5"/>
      <c r="FG73" s="34"/>
    </row>
    <row r="74" spans="2:163"/>
    <row r="75" spans="2:163">
      <c r="F75" s="1" t="s">
        <v>1430</v>
      </c>
      <c r="G75" s="1" t="s">
        <v>1431</v>
      </c>
      <c r="H75" s="1" t="s">
        <v>1432</v>
      </c>
    </row>
    <row r="76" spans="2:163">
      <c r="E76" s="1" t="s">
        <v>1433</v>
      </c>
      <c r="F76" s="1">
        <f>COUNTIF(F4:F62, "systematic review")</f>
        <v>42</v>
      </c>
      <c r="G76" s="1">
        <v>2</v>
      </c>
      <c r="H76" s="1">
        <f>SUM(F76-G76)</f>
        <v>40</v>
      </c>
    </row>
    <row r="77" spans="2:163" ht="30">
      <c r="E77" s="1" t="s">
        <v>1434</v>
      </c>
      <c r="F77" s="1">
        <f>COUNTIF(F4:F62, "SR with meta-qual/ethnography")</f>
        <v>5</v>
      </c>
      <c r="H77" s="1">
        <f t="shared" ref="H77:H81" si="5">SUM(F77-G77)</f>
        <v>5</v>
      </c>
      <c r="AH77" s="1" t="s">
        <v>1435</v>
      </c>
      <c r="AI77" s="1">
        <f>COUNTIF(AI4:AI62, "&gt;1")</f>
        <v>11</v>
      </c>
      <c r="AT77" s="1" t="s">
        <v>1436</v>
      </c>
      <c r="AU77" s="1">
        <f>COUNTIF(AU4:AU62, "n/a")</f>
        <v>1</v>
      </c>
      <c r="AV77" s="1">
        <f>COUNTIF(AV4:AV62, "n/a")</f>
        <v>0</v>
      </c>
      <c r="AX77" s="1">
        <f>COUNTIF(AX4:AX62, "n/a")</f>
        <v>1</v>
      </c>
      <c r="AZ77" s="1">
        <f>COUNTIF(AZ4:AZ62, "n/a")</f>
        <v>1</v>
      </c>
      <c r="BB77" s="1">
        <f>COUNTIF(BB4:BB62, "n/a")</f>
        <v>1</v>
      </c>
      <c r="BD77" s="1">
        <f>COUNTIF(BD4:BD62, "n/a")</f>
        <v>1</v>
      </c>
      <c r="BF77" s="1">
        <f>COUNTIF(BF4:BF62, "n/a")</f>
        <v>1</v>
      </c>
      <c r="BH77" s="1">
        <f>COUNTIF(BH4:BH62, "n/a")</f>
        <v>1</v>
      </c>
      <c r="BJ77" s="1">
        <f>COUNTIF(BJ4:BJ62, "n/a")</f>
        <v>1</v>
      </c>
      <c r="FF77" s="6" t="s">
        <v>1437</v>
      </c>
      <c r="FG77" s="55">
        <f>MAX(FG33:FG62)</f>
        <v>0.65625</v>
      </c>
    </row>
    <row r="78" spans="2:163" ht="30">
      <c r="E78" s="1" t="s">
        <v>1438</v>
      </c>
      <c r="F78" s="45">
        <f>COUNTIF(F4:F62, "SR with meta-analysis")</f>
        <v>3</v>
      </c>
      <c r="H78" s="1">
        <f t="shared" si="5"/>
        <v>3</v>
      </c>
      <c r="AB78" s="1">
        <f>SUM(AB4:AB62)</f>
        <v>32793</v>
      </c>
      <c r="AH78" s="1" t="s">
        <v>1439</v>
      </c>
      <c r="AJ78" s="1">
        <f>COUNTIF(AJ4:AJ62, "unclear")</f>
        <v>1</v>
      </c>
      <c r="AL78" s="1">
        <f>COUNTIF(AL4:AL62, "unclear")</f>
        <v>0</v>
      </c>
      <c r="AN78" s="1">
        <f>COUNTIF(AN4:AN62, "unclear")</f>
        <v>0</v>
      </c>
      <c r="AT78" s="1" t="s">
        <v>1440</v>
      </c>
      <c r="AU78" s="1">
        <f>COUNTIF(AU4:AU62, "nr")</f>
        <v>18</v>
      </c>
      <c r="AV78" s="1">
        <f>COUNTIF(AV4:AV62, "nr")</f>
        <v>20</v>
      </c>
      <c r="AX78" s="1">
        <f>COUNTIF(AX4:AX62, "nr")</f>
        <v>18</v>
      </c>
      <c r="AZ78" s="1">
        <f>COUNTIF(AZ4:AZ62, "nr")</f>
        <v>18</v>
      </c>
      <c r="BB78" s="1">
        <f>COUNTIF(BB4:BB62, "nr")</f>
        <v>18</v>
      </c>
      <c r="BD78" s="1">
        <f>COUNTIF(BD4:BD62, "nr")</f>
        <v>18</v>
      </c>
      <c r="BF78" s="1">
        <f>COUNTIF(BF4:BF62, "nr")</f>
        <v>18</v>
      </c>
      <c r="BH78" s="1">
        <f>COUNTIF(BH4:BH62, "nr")</f>
        <v>18</v>
      </c>
      <c r="BJ78" s="1">
        <f>COUNTIF(BJ4:BJ62, "nr")</f>
        <v>18</v>
      </c>
      <c r="ES78" s="57" t="s">
        <v>1441</v>
      </c>
      <c r="ET78" s="1">
        <f>COUNTIF(ET4:ET62, "low quality/high ROB")</f>
        <v>21</v>
      </c>
      <c r="FF78" s="6" t="s">
        <v>1442</v>
      </c>
      <c r="FG78" s="55">
        <f>MIN(FG33:FG62)</f>
        <v>3.8461538461538464E-2</v>
      </c>
    </row>
    <row r="79" spans="2:163" ht="30">
      <c r="E79" s="1" t="s">
        <v>1443</v>
      </c>
      <c r="F79" s="45">
        <f>COUNTIF(F4:F62, "cochrane review")</f>
        <v>5</v>
      </c>
      <c r="G79" s="1">
        <v>2</v>
      </c>
      <c r="H79" s="1">
        <f t="shared" si="5"/>
        <v>3</v>
      </c>
      <c r="AH79" s="1" t="s">
        <v>1444</v>
      </c>
      <c r="AJ79" s="1">
        <f>COUNTIF(AJ4:AJ62, "no")</f>
        <v>36</v>
      </c>
      <c r="AL79" s="1">
        <f>COUNTIF(AL4:AL62, "no")</f>
        <v>29</v>
      </c>
      <c r="AN79" s="1">
        <f>COUNTIF(AN4:AN62, "no")</f>
        <v>28</v>
      </c>
      <c r="AT79" s="1" t="s">
        <v>1445</v>
      </c>
      <c r="AU79" s="1">
        <f>COUNTIF(AU4:AU62, 0)</f>
        <v>19</v>
      </c>
      <c r="AV79" s="1">
        <f>COUNTIF(AV4:AV62, 0)</f>
        <v>12</v>
      </c>
      <c r="AX79" s="1">
        <f>COUNTIF(AX4:AX62, 0)</f>
        <v>17</v>
      </c>
      <c r="AZ79" s="1">
        <f>COUNTIF(AZ4:AZ62, 0)</f>
        <v>27</v>
      </c>
      <c r="BB79" s="1">
        <f>COUNTIF(BB4:BB62, 0)</f>
        <v>7</v>
      </c>
      <c r="BD79" s="1">
        <f>COUNTIF(BD4:BD62, 0)</f>
        <v>34</v>
      </c>
      <c r="BF79" s="1">
        <f>COUNTIF(BF4:BF62, 0)</f>
        <v>34</v>
      </c>
      <c r="BH79" s="1">
        <f>COUNTIF(BH4:BH62, 0)</f>
        <v>26</v>
      </c>
      <c r="BJ79" s="1">
        <f>COUNTIF(BJ4:BJ62, 0)</f>
        <v>35</v>
      </c>
      <c r="ES79" s="57" t="s">
        <v>1446</v>
      </c>
      <c r="ET79" s="1">
        <f>COUNTIF(ET4:ET62, "moderate quality/ROB")</f>
        <v>13</v>
      </c>
      <c r="FF79" s="6" t="s">
        <v>1447</v>
      </c>
      <c r="FG79" s="55">
        <f>MEDIAN(FG4:FG62)</f>
        <v>0.38461538461538464</v>
      </c>
    </row>
    <row r="80" spans="2:163" ht="30">
      <c r="E80" s="1" t="s">
        <v>1448</v>
      </c>
      <c r="F80" s="1">
        <f>COUNTIF(F4:F62, "scoping review")</f>
        <v>2</v>
      </c>
      <c r="H80" s="1">
        <f t="shared" si="5"/>
        <v>2</v>
      </c>
      <c r="AH80" s="1" t="s">
        <v>1449</v>
      </c>
      <c r="AJ80" s="1">
        <f>COUNTIF(AJ4:AJ62, "yes")</f>
        <v>16</v>
      </c>
      <c r="AL80" s="1">
        <f>COUNTIF(AL4:AL62, "yes")</f>
        <v>24</v>
      </c>
      <c r="AN80" s="1">
        <f>COUNTIF(AN4:AN62, "yes")</f>
        <v>25</v>
      </c>
      <c r="AT80" s="1" t="s">
        <v>1450</v>
      </c>
      <c r="AU80" s="1">
        <f>COUNTIF(AU4:AU62, "&gt;0")</f>
        <v>16</v>
      </c>
      <c r="AV80" s="1">
        <f>COUNTIF(AV4:AV62, "&gt;0")</f>
        <v>22</v>
      </c>
      <c r="AX80" s="1">
        <f>COUNTIF(AX4:AX62, "&gt;0")</f>
        <v>18</v>
      </c>
      <c r="AZ80" s="1">
        <f>COUNTIF(AZ4:AZ62, "&gt;0")</f>
        <v>8</v>
      </c>
      <c r="BB80" s="1">
        <f>COUNTIF(BB4:BB62, "&gt;0")</f>
        <v>28</v>
      </c>
      <c r="BD80" s="1">
        <f>COUNTIF(BD4:BD62, "&gt;0")</f>
        <v>1</v>
      </c>
      <c r="BF80" s="1">
        <f>COUNTIF(BF4:BF62, "&gt;0")</f>
        <v>1</v>
      </c>
      <c r="BH80" s="1">
        <f>COUNTIF(BH4:BH62, "&gt;0")</f>
        <v>9</v>
      </c>
      <c r="BJ80" s="1">
        <f>COUNTIF(BJ4:BJ62, "&gt;0")</f>
        <v>0</v>
      </c>
      <c r="ES80" s="57" t="s">
        <v>1451</v>
      </c>
      <c r="ET80" s="1">
        <f>COUNTIF(ET4:ET62, "high quality/low ROB")</f>
        <v>4</v>
      </c>
      <c r="FF80" s="6" t="s">
        <v>1452</v>
      </c>
      <c r="FG80" s="55">
        <f>_xlfn.PERCENTILE.INC(FG4:FG62, 0.25)</f>
        <v>0.19230769230769232</v>
      </c>
    </row>
    <row r="81" spans="5:163" ht="30">
      <c r="E81" s="1" t="s">
        <v>1453</v>
      </c>
      <c r="F81" s="1">
        <f>COUNTIF(F4:F62, "umbrella review")</f>
        <v>2</v>
      </c>
      <c r="H81" s="1">
        <f t="shared" si="5"/>
        <v>2</v>
      </c>
      <c r="AJ81" s="1">
        <f>SUM(AJ78:AJ80)</f>
        <v>53</v>
      </c>
      <c r="AL81" s="1">
        <f>SUM(AL78:AL80)</f>
        <v>53</v>
      </c>
      <c r="AN81" s="1">
        <f>SUM(AN78:AN80)</f>
        <v>53</v>
      </c>
      <c r="AU81" s="1">
        <f>SUM(AU77:AU80)</f>
        <v>54</v>
      </c>
      <c r="AV81" s="1">
        <f>SUM(AV77:AV80)</f>
        <v>54</v>
      </c>
      <c r="AX81" s="1">
        <f>SUM(AX77:AX80)</f>
        <v>54</v>
      </c>
      <c r="AZ81" s="1">
        <f>SUM(AZ77:AZ80)</f>
        <v>54</v>
      </c>
      <c r="BB81" s="1">
        <f>SUM(BB77:BB80)</f>
        <v>54</v>
      </c>
      <c r="BD81" s="1">
        <f>SUM(BD77:BD80)</f>
        <v>54</v>
      </c>
      <c r="BF81" s="1">
        <f>SUM(BF77:BF80)</f>
        <v>54</v>
      </c>
      <c r="BH81" s="1">
        <f>SUM(BH77:BH80)</f>
        <v>54</v>
      </c>
      <c r="BJ81" s="1">
        <f>SUM(BJ77:BJ80)</f>
        <v>54</v>
      </c>
      <c r="ES81" s="57" t="s">
        <v>1454</v>
      </c>
      <c r="ET81" s="1">
        <f>COUNTIF(ET4:ET62, "not reported")</f>
        <v>14</v>
      </c>
      <c r="FF81" s="6" t="s">
        <v>1455</v>
      </c>
      <c r="FG81" s="55">
        <f>_xlfn.PERCENTILE.INC(FG4:FG62, 0.75)</f>
        <v>0.46153846153846156</v>
      </c>
    </row>
    <row r="82" spans="5:163" ht="30">
      <c r="F82" s="1">
        <f>SUM(F76:F81)</f>
        <v>59</v>
      </c>
      <c r="G82" s="1">
        <f>SUM(G76:G81)</f>
        <v>4</v>
      </c>
      <c r="H82" s="1">
        <f>SUM(F82-G82)</f>
        <v>55</v>
      </c>
      <c r="AU82" s="1">
        <f>SUM(AU79:AU80)</f>
        <v>35</v>
      </c>
      <c r="ES82" s="57" t="s">
        <v>1456</v>
      </c>
      <c r="ET82" s="1">
        <f>COUNTIF(ET4:ET62, "not applicable")</f>
        <v>1</v>
      </c>
      <c r="FG82" s="55"/>
    </row>
    <row r="83" spans="5:163">
      <c r="ES83" s="57" t="s">
        <v>1457</v>
      </c>
      <c r="ET83" s="1">
        <f>COUNTIF(ET4:ET62, "not clear")</f>
        <v>1</v>
      </c>
    </row>
    <row r="84" spans="5:163">
      <c r="AT84" s="1" t="s">
        <v>1458</v>
      </c>
      <c r="AU84" s="1">
        <f>SUM(AU4:AU62)</f>
        <v>39</v>
      </c>
      <c r="AV84" s="1">
        <f>SUM(AV4:AV62)</f>
        <v>84</v>
      </c>
      <c r="AX84" s="1">
        <f>SUM(AX4:AX62)</f>
        <v>69</v>
      </c>
      <c r="AZ84" s="1">
        <f>SUM(AZ4:AZ62)</f>
        <v>13</v>
      </c>
      <c r="BB84" s="1">
        <f>SUM(BB4:BB62)</f>
        <v>190</v>
      </c>
      <c r="BD84" s="1">
        <f>SUM(BD4:BD62)</f>
        <v>1</v>
      </c>
      <c r="BF84" s="1">
        <f>SUM(BF4:BF62)</f>
        <v>1</v>
      </c>
      <c r="BH84" s="1">
        <f>SUM(BH4:BH62)</f>
        <v>23</v>
      </c>
      <c r="BJ84" s="1">
        <f>SUM(BJ4:BJ62)</f>
        <v>0</v>
      </c>
      <c r="ET84" s="1">
        <f>SUM(ET78:ET83)</f>
        <v>54</v>
      </c>
      <c r="FG84" s="55"/>
    </row>
    <row r="85" spans="5:163">
      <c r="FG85" s="55"/>
    </row>
    <row r="86" spans="5:163">
      <c r="FG86" s="55"/>
    </row>
    <row r="87" spans="5:163"/>
    <row r="88" spans="5:163"/>
    <row r="89" spans="5:163"/>
    <row r="90" spans="5:163"/>
    <row r="91" spans="5:163"/>
    <row r="92" spans="5:163"/>
    <row r="93" spans="5:163"/>
    <row r="94" spans="5:163"/>
    <row r="95" spans="5:163"/>
    <row r="96" spans="5:16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FG62" xr:uid="{84369FF9-A2EF-49E6-8FBE-8CCC2EC2A6B2}">
    <filterColumn colId="100">
      <filters>
        <filter val="0"/>
        <filter val="2"/>
        <filter val="4"/>
      </filters>
    </filterColumn>
  </autoFilter>
  <sortState xmlns:xlrd2="http://schemas.microsoft.com/office/spreadsheetml/2017/richdata2" ref="B5:FG62">
    <sortCondition ref="C5:C62"/>
  </sortState>
  <mergeCells count="35">
    <mergeCell ref="FE1:FG2"/>
    <mergeCell ref="EQ1:EU2"/>
    <mergeCell ref="FC1:FD2"/>
    <mergeCell ref="EB1:EK1"/>
    <mergeCell ref="P2:Q2"/>
    <mergeCell ref="I1:U1"/>
    <mergeCell ref="V1:AA2"/>
    <mergeCell ref="CL2:DE2"/>
    <mergeCell ref="DR2:DV2"/>
    <mergeCell ref="I2:L2"/>
    <mergeCell ref="R2:U2"/>
    <mergeCell ref="AB2:AT2"/>
    <mergeCell ref="BL2:BM2"/>
    <mergeCell ref="DF2:DL2"/>
    <mergeCell ref="AB1:BK1"/>
    <mergeCell ref="CL1:DE1"/>
    <mergeCell ref="A1:G2"/>
    <mergeCell ref="EV1:EX2"/>
    <mergeCell ref="M2:O2"/>
    <mergeCell ref="AU2:BK2"/>
    <mergeCell ref="H1:H2"/>
    <mergeCell ref="EL1:EP1"/>
    <mergeCell ref="EY1:EZ2"/>
    <mergeCell ref="FA1:FB2"/>
    <mergeCell ref="BL1:CK1"/>
    <mergeCell ref="BN2:BV2"/>
    <mergeCell ref="BW2:CA2"/>
    <mergeCell ref="CB2:CK2"/>
    <mergeCell ref="DM2:DQ2"/>
    <mergeCell ref="DW2:EA2"/>
    <mergeCell ref="EB2:EF2"/>
    <mergeCell ref="EG2:EK2"/>
    <mergeCell ref="EL2:EP2"/>
    <mergeCell ref="DM1:EA1"/>
    <mergeCell ref="DF1:DL1"/>
  </mergeCells>
  <conditionalFormatting sqref="C4:F30 C32:F52 C31:D31 F31">
    <cfRule type="expression" dxfId="237" priority="308">
      <formula>OR(CELL("row")=ROW())</formula>
    </cfRule>
  </conditionalFormatting>
  <conditionalFormatting sqref="F4:F52">
    <cfRule type="containsText" dxfId="236" priority="305" operator="containsText" text="yes">
      <formula>NOT(ISERROR(SEARCH("yes",F4)))</formula>
    </cfRule>
    <cfRule type="endsWith" dxfId="235" priority="306" operator="endsWith" text="no">
      <formula>RIGHT(F4,LEN("no"))="no"</formula>
    </cfRule>
  </conditionalFormatting>
  <conditionalFormatting sqref="F4:F52">
    <cfRule type="containsText" dxfId="234" priority="304" operator="containsText" text="pending">
      <formula>NOT(ISERROR(SEARCH("pending",F4)))</formula>
    </cfRule>
  </conditionalFormatting>
  <conditionalFormatting sqref="F4:F60">
    <cfRule type="containsText" dxfId="233" priority="298" operator="containsText" text="Systematic Review">
      <formula>NOT(ISERROR(SEARCH("Systematic Review",F4)))</formula>
    </cfRule>
  </conditionalFormatting>
  <conditionalFormatting sqref="CN12:CO12 CN13:CP14 CV15:CW15 CY15 CO15 U14:AH14 I12:AJ13 CN16:CO16 CQ13:CS15 I7:Q7 S7:T7 I14:S14 CB15:CJ16 CL15:CM16 DD13:EK14 CV21:DP21 DR21:EP21 BB28:BC28 BL28:BV28 CL29:CS29 I50:R50 CL44:CS44 CX44:EP44 CU13:CU15 EV49:FD52 FD48 AZ12 DD12:EF12 BL15:BZ15 DF15:EC15 EF15:EP15 EV15:EW15 FC15:FD15 EY15:FA15 BB16:BL16 BN16:BZ16 CR16:CS16 I46:AG46 AJ46:AT46 BL46:BV46 CL45:EK45 CL46:EA46 EQ46:ET46 DF18:EP18 BB4:CM14 CN4:CU11 CV4:DC14 DD4:EK11 EV4:FD14 I27:R27 BB47:BV52 CL47:ET52 EV48:FB48 CV19:EK20 BB29:BV45 CL30:CU43 BL22:BV22 EV16:FD16 BL17:BV18 CV16:EK17 EV17:EW17 EY17:FD17 K25:AH25 CB19:CJ52 I24:AF24 BB23:BV27 CL17:CU28 CV22:EK43 EL4:ET45 EV18:FD47 BZ56:CA56 BW15:CA55 BV4:BV60 BW57:CA60 CK15:CK60 I4:AY4 I5:AH6 V7:AH7 I8:AH11 AX9:AY9 AH24 I26:AH26 T27:AH27 T50:AH50 AX34:BA34 AZ37:BA37 I40:BA40 AZ41:BA41 AZ44:BA44 I41:AH45 AX47:BA47 AZ48:BA48 I47:AH49 AX51:BA51 AZ52:BA52 I51:AH52 AX20:BZ20 AU18:AW18 AL12:AY13 AL14:AW14 I15:AH23 AJ9:AV9 AJ10:AY11 AJ5:AX5 AJ6:AY8 AI5:AI11 AJ15:AY16 AJ20:AV20 AJ21:BZ21 I28:AH39 AJ38:BA39 AJ37:AW37 AJ35:BA36 AJ34:AV34 AJ19:BZ19 AJ23:BA33 AJ17:AT18 AJ22:AT22 AJ14 AJ48:AW48 AJ47:AV47 AJ44:AW44 AJ45:BA45 AJ42:BA43 AJ41:AW41 AJ49:BA50 AJ52:AW52 AJ51:AV51">
    <cfRule type="endsWith" dxfId="232" priority="295" operator="endsWith" text="n">
      <formula>RIGHT(I4,LEN("n"))="n"</formula>
    </cfRule>
    <cfRule type="endsWith" dxfId="231" priority="296" operator="endsWith" text="y">
      <formula>RIGHT(I4,LEN("y"))="y"</formula>
    </cfRule>
  </conditionalFormatting>
  <conditionalFormatting sqref="CP12:CQ12">
    <cfRule type="endsWith" dxfId="230" priority="261" operator="endsWith" text="n">
      <formula>RIGHT(CP12,LEN("n"))="n"</formula>
    </cfRule>
    <cfRule type="endsWith" dxfId="229" priority="262" operator="endsWith" text="y">
      <formula>RIGHT(CP12,LEN("y"))="y"</formula>
    </cfRule>
  </conditionalFormatting>
  <conditionalFormatting sqref="CR12:CS12">
    <cfRule type="endsWith" dxfId="228" priority="259" operator="endsWith" text="n">
      <formula>RIGHT(CR12,LEN("n"))="n"</formula>
    </cfRule>
    <cfRule type="endsWith" dxfId="227" priority="260" operator="endsWith" text="y">
      <formula>RIGHT(CR12,LEN("y"))="y"</formula>
    </cfRule>
  </conditionalFormatting>
  <conditionalFormatting sqref="CT13 CT15">
    <cfRule type="endsWith" dxfId="226" priority="257" operator="endsWith" text="n">
      <formula>RIGHT(CT13,LEN("n"))="n"</formula>
    </cfRule>
    <cfRule type="endsWith" dxfId="225" priority="258" operator="endsWith" text="y">
      <formula>RIGHT(CT13,LEN("y"))="y"</formula>
    </cfRule>
  </conditionalFormatting>
  <conditionalFormatting sqref="CT12:CU12">
    <cfRule type="endsWith" dxfId="224" priority="253" operator="endsWith" text="n">
      <formula>RIGHT(CT12,LEN("n"))="n"</formula>
    </cfRule>
    <cfRule type="endsWith" dxfId="223" priority="254" operator="endsWith" text="y">
      <formula>RIGHT(CT12,LEN("y"))="y"</formula>
    </cfRule>
  </conditionalFormatting>
  <conditionalFormatting sqref="EG12:EK12">
    <cfRule type="endsWith" dxfId="222" priority="251" operator="endsWith" text="n">
      <formula>RIGHT(EG12,LEN("n"))="n"</formula>
    </cfRule>
    <cfRule type="endsWith" dxfId="221" priority="252" operator="endsWith" text="y">
      <formula>RIGHT(EG12,LEN("y"))="y"</formula>
    </cfRule>
  </conditionalFormatting>
  <conditionalFormatting sqref="F14">
    <cfRule type="expression" dxfId="220" priority="248">
      <formula>OR(CELL("row")=ROW())</formula>
    </cfRule>
  </conditionalFormatting>
  <conditionalFormatting sqref="AZ4:BA6 AZ13:BA13 AZ16 AZ9:BA11">
    <cfRule type="endsWith" dxfId="219" priority="246" operator="endsWith" text="n">
      <formula>RIGHT(AZ4,LEN("n"))="n"</formula>
    </cfRule>
    <cfRule type="endsWith" dxfId="218" priority="247" operator="endsWith" text="y">
      <formula>RIGHT(AZ4,LEN("y"))="y"</formula>
    </cfRule>
  </conditionalFormatting>
  <conditionalFormatting sqref="CT14">
    <cfRule type="endsWith" dxfId="217" priority="244" operator="endsWith" text="n">
      <formula>RIGHT(CT14,LEN("n"))="n"</formula>
    </cfRule>
    <cfRule type="endsWith" dxfId="216" priority="245" operator="endsWith" text="y">
      <formula>RIGHT(CT14,LEN("y"))="y"</formula>
    </cfRule>
  </conditionalFormatting>
  <conditionalFormatting sqref="CX15">
    <cfRule type="endsWith" dxfId="215" priority="236" operator="endsWith" text="n">
      <formula>RIGHT(CX15,LEN("n"))="n"</formula>
    </cfRule>
    <cfRule type="endsWith" dxfId="214" priority="237" operator="endsWith" text="y">
      <formula>RIGHT(CX15,LEN("y"))="y"</formula>
    </cfRule>
  </conditionalFormatting>
  <conditionalFormatting sqref="CP15">
    <cfRule type="endsWith" dxfId="213" priority="234" operator="endsWith" text="n">
      <formula>RIGHT(CP15,LEN("n"))="n"</formula>
    </cfRule>
    <cfRule type="endsWith" dxfId="212" priority="235" operator="endsWith" text="y">
      <formula>RIGHT(CP15,LEN("y"))="y"</formula>
    </cfRule>
  </conditionalFormatting>
  <conditionalFormatting sqref="CN15">
    <cfRule type="endsWith" dxfId="211" priority="232" operator="endsWith" text="n">
      <formula>RIGHT(CN15,LEN("n"))="n"</formula>
    </cfRule>
    <cfRule type="endsWith" dxfId="210" priority="233" operator="endsWith" text="y">
      <formula>RIGHT(CN15,LEN("y"))="y"</formula>
    </cfRule>
  </conditionalFormatting>
  <conditionalFormatting sqref="BA12">
    <cfRule type="endsWith" dxfId="209" priority="214" operator="endsWith" text="n">
      <formula>RIGHT(BA12,LEN("n"))="n"</formula>
    </cfRule>
    <cfRule type="endsWith" dxfId="208" priority="215" operator="endsWith" text="y">
      <formula>RIGHT(BA12,LEN("y"))="y"</formula>
    </cfRule>
  </conditionalFormatting>
  <conditionalFormatting sqref="BA16">
    <cfRule type="endsWith" dxfId="207" priority="210" operator="endsWith" text="n">
      <formula>RIGHT(BA16,LEN("n"))="n"</formula>
    </cfRule>
    <cfRule type="endsWith" dxfId="206" priority="211" operator="endsWith" text="y">
      <formula>RIGHT(BA16,LEN("y"))="y"</formula>
    </cfRule>
  </conditionalFormatting>
  <conditionalFormatting sqref="AK12:AK14">
    <cfRule type="endsWith" dxfId="205" priority="208" operator="endsWith" text="n">
      <formula>RIGHT(AK12,LEN("n"))="n"</formula>
    </cfRule>
    <cfRule type="endsWith" dxfId="204" priority="209" operator="endsWith" text="y">
      <formula>RIGHT(AK12,LEN("y"))="y"</formula>
    </cfRule>
  </conditionalFormatting>
  <conditionalFormatting sqref="BW17:BZ17 CB17:CJ17">
    <cfRule type="endsWith" dxfId="203" priority="194" operator="endsWith" text="n">
      <formula>RIGHT(BW17,LEN("n"))="n"</formula>
    </cfRule>
    <cfRule type="endsWith" dxfId="202" priority="195" operator="endsWith" text="y">
      <formula>RIGHT(BW17,LEN("y"))="y"</formula>
    </cfRule>
  </conditionalFormatting>
  <conditionalFormatting sqref="BB18:BK18">
    <cfRule type="endsWith" dxfId="201" priority="192" operator="endsWith" text="n">
      <formula>RIGHT(BB18,LEN("n"))="n"</formula>
    </cfRule>
    <cfRule type="endsWith" dxfId="200" priority="193" operator="endsWith" text="y">
      <formula>RIGHT(BB18,LEN("y"))="y"</formula>
    </cfRule>
  </conditionalFormatting>
  <conditionalFormatting sqref="AZ18">
    <cfRule type="endsWith" dxfId="199" priority="190" operator="endsWith" text="n">
      <formula>RIGHT(AZ18,LEN("n"))="n"</formula>
    </cfRule>
    <cfRule type="endsWith" dxfId="198" priority="191" operator="endsWith" text="y">
      <formula>RIGHT(AZ18,LEN("y"))="y"</formula>
    </cfRule>
  </conditionalFormatting>
  <conditionalFormatting sqref="BW18:BZ18">
    <cfRule type="endsWith" dxfId="197" priority="186" operator="endsWith" text="n">
      <formula>RIGHT(BW18,LEN("n"))="n"</formula>
    </cfRule>
    <cfRule type="endsWith" dxfId="196" priority="187" operator="endsWith" text="y">
      <formula>RIGHT(BW18,LEN("y"))="y"</formula>
    </cfRule>
  </conditionalFormatting>
  <conditionalFormatting sqref="BA18">
    <cfRule type="endsWith" dxfId="195" priority="172" operator="endsWith" text="n">
      <formula>RIGHT(BA18,LEN("n"))="n"</formula>
    </cfRule>
    <cfRule type="endsWith" dxfId="194" priority="173" operator="endsWith" text="y">
      <formula>RIGHT(BA18,LEN("y"))="y"</formula>
    </cfRule>
  </conditionalFormatting>
  <conditionalFormatting sqref="AZ7:BA7">
    <cfRule type="endsWith" dxfId="193" priority="170" operator="endsWith" text="n">
      <formula>RIGHT(AZ7,LEN("n"))="n"</formula>
    </cfRule>
    <cfRule type="endsWith" dxfId="192" priority="171" operator="endsWith" text="y">
      <formula>RIGHT(AZ7,LEN("y"))="y"</formula>
    </cfRule>
  </conditionalFormatting>
  <conditionalFormatting sqref="AZ14:BA14">
    <cfRule type="endsWith" dxfId="191" priority="166" operator="endsWith" text="n">
      <formula>RIGHT(AZ14,LEN("n"))="n"</formula>
    </cfRule>
    <cfRule type="endsWith" dxfId="190" priority="167" operator="endsWith" text="y">
      <formula>RIGHT(AZ14,LEN("y"))="y"</formula>
    </cfRule>
  </conditionalFormatting>
  <conditionalFormatting sqref="BD28:BE28">
    <cfRule type="endsWith" dxfId="189" priority="164" operator="endsWith" text="n">
      <formula>RIGHT(BD28,LEN("n"))="n"</formula>
    </cfRule>
    <cfRule type="endsWith" dxfId="188" priority="165" operator="endsWith" text="y">
      <formula>RIGHT(BD28,LEN("y"))="y"</formula>
    </cfRule>
  </conditionalFormatting>
  <conditionalFormatting sqref="BF28:BG28">
    <cfRule type="endsWith" dxfId="187" priority="162" operator="endsWith" text="n">
      <formula>RIGHT(BF28,LEN("n"))="n"</formula>
    </cfRule>
    <cfRule type="endsWith" dxfId="186" priority="163" operator="endsWith" text="y">
      <formula>RIGHT(BF28,LEN("y"))="y"</formula>
    </cfRule>
  </conditionalFormatting>
  <conditionalFormatting sqref="BH28:BI28">
    <cfRule type="endsWith" dxfId="185" priority="160" operator="endsWith" text="n">
      <formula>RIGHT(BH28,LEN("n"))="n"</formula>
    </cfRule>
    <cfRule type="endsWith" dxfId="184" priority="161" operator="endsWith" text="y">
      <formula>RIGHT(BH28,LEN("y"))="y"</formula>
    </cfRule>
  </conditionalFormatting>
  <conditionalFormatting sqref="BJ28:BK28">
    <cfRule type="endsWith" dxfId="183" priority="158" operator="endsWith" text="n">
      <formula>RIGHT(BJ28,LEN("n"))="n"</formula>
    </cfRule>
    <cfRule type="endsWith" dxfId="182" priority="159" operator="endsWith" text="y">
      <formula>RIGHT(BJ28,LEN("y"))="y"</formula>
    </cfRule>
  </conditionalFormatting>
  <conditionalFormatting sqref="CT29:CU29">
    <cfRule type="endsWith" dxfId="181" priority="152" operator="endsWith" text="n">
      <formula>RIGHT(CT29,LEN("n"))="n"</formula>
    </cfRule>
    <cfRule type="endsWith" dxfId="180" priority="153" operator="endsWith" text="y">
      <formula>RIGHT(CT29,LEN("y"))="y"</formula>
    </cfRule>
  </conditionalFormatting>
  <conditionalFormatting sqref="CT44:CU44">
    <cfRule type="endsWith" dxfId="179" priority="148" operator="endsWith" text="n">
      <formula>RIGHT(CT44,LEN("n"))="n"</formula>
    </cfRule>
    <cfRule type="endsWith" dxfId="178" priority="149" operator="endsWith" text="y">
      <formula>RIGHT(CT44,LEN("y"))="y"</formula>
    </cfRule>
  </conditionalFormatting>
  <conditionalFormatting sqref="CV44:CW44">
    <cfRule type="endsWith" dxfId="177" priority="146" operator="endsWith" text="n">
      <formula>RIGHT(CV44,LEN("n"))="n"</formula>
    </cfRule>
    <cfRule type="endsWith" dxfId="176" priority="147" operator="endsWith" text="y">
      <formula>RIGHT(CV44,LEN("y"))="y"</formula>
    </cfRule>
  </conditionalFormatting>
  <conditionalFormatting sqref="AZ8:BA8">
    <cfRule type="endsWith" dxfId="175" priority="144" operator="endsWith" text="n">
      <formula>RIGHT(AZ8,LEN("n"))="n"</formula>
    </cfRule>
    <cfRule type="endsWith" dxfId="174" priority="145" operator="endsWith" text="y">
      <formula>RIGHT(AZ8,LEN("y"))="y"</formula>
    </cfRule>
  </conditionalFormatting>
  <conditionalFormatting sqref="BB15:BK15">
    <cfRule type="endsWith" dxfId="173" priority="142" operator="endsWith" text="n">
      <formula>RIGHT(BB15,LEN("n"))="n"</formula>
    </cfRule>
    <cfRule type="endsWith" dxfId="172" priority="143" operator="endsWith" text="y">
      <formula>RIGHT(BB15,LEN("y"))="y"</formula>
    </cfRule>
  </conditionalFormatting>
  <conditionalFormatting sqref="AZ15:BA15">
    <cfRule type="endsWith" dxfId="171" priority="140" operator="endsWith" text="n">
      <formula>RIGHT(AZ15,LEN("n"))="n"</formula>
    </cfRule>
    <cfRule type="endsWith" dxfId="170" priority="141" operator="endsWith" text="y">
      <formula>RIGHT(AZ15,LEN("y"))="y"</formula>
    </cfRule>
  </conditionalFormatting>
  <conditionalFormatting sqref="DA15">
    <cfRule type="endsWith" dxfId="169" priority="138" operator="endsWith" text="n">
      <formula>RIGHT(DA15,LEN("n"))="n"</formula>
    </cfRule>
    <cfRule type="endsWith" dxfId="168" priority="139" operator="endsWith" text="y">
      <formula>RIGHT(DA15,LEN("y"))="y"</formula>
    </cfRule>
  </conditionalFormatting>
  <conditionalFormatting sqref="CZ15">
    <cfRule type="endsWith" dxfId="167" priority="136" operator="endsWith" text="n">
      <formula>RIGHT(CZ15,LEN("n"))="n"</formula>
    </cfRule>
    <cfRule type="endsWith" dxfId="166" priority="137" operator="endsWith" text="y">
      <formula>RIGHT(CZ15,LEN("y"))="y"</formula>
    </cfRule>
  </conditionalFormatting>
  <conditionalFormatting sqref="DC15">
    <cfRule type="endsWith" dxfId="165" priority="134" operator="endsWith" text="n">
      <formula>RIGHT(DC15,LEN("n"))="n"</formula>
    </cfRule>
    <cfRule type="endsWith" dxfId="164" priority="135" operator="endsWith" text="y">
      <formula>RIGHT(DC15,LEN("y"))="y"</formula>
    </cfRule>
  </conditionalFormatting>
  <conditionalFormatting sqref="DB15">
    <cfRule type="endsWith" dxfId="163" priority="132" operator="endsWith" text="n">
      <formula>RIGHT(DB15,LEN("n"))="n"</formula>
    </cfRule>
    <cfRule type="endsWith" dxfId="162" priority="133" operator="endsWith" text="y">
      <formula>RIGHT(DB15,LEN("y"))="y"</formula>
    </cfRule>
  </conditionalFormatting>
  <conditionalFormatting sqref="DE15">
    <cfRule type="endsWith" dxfId="161" priority="130" operator="endsWith" text="n">
      <formula>RIGHT(DE15,LEN("n"))="n"</formula>
    </cfRule>
    <cfRule type="endsWith" dxfId="160" priority="131" operator="endsWith" text="y">
      <formula>RIGHT(DE15,LEN("y"))="y"</formula>
    </cfRule>
  </conditionalFormatting>
  <conditionalFormatting sqref="DD15">
    <cfRule type="endsWith" dxfId="159" priority="128" operator="endsWith" text="n">
      <formula>RIGHT(DD15,LEN("n"))="n"</formula>
    </cfRule>
    <cfRule type="endsWith" dxfId="158" priority="129" operator="endsWith" text="y">
      <formula>RIGHT(DD15,LEN("y"))="y"</formula>
    </cfRule>
  </conditionalFormatting>
  <conditionalFormatting sqref="CP16:CQ16">
    <cfRule type="endsWith" dxfId="157" priority="126" operator="endsWith" text="n">
      <formula>RIGHT(CP16,LEN("n"))="n"</formula>
    </cfRule>
    <cfRule type="endsWith" dxfId="156" priority="127" operator="endsWith" text="y">
      <formula>RIGHT(CP16,LEN("y"))="y"</formula>
    </cfRule>
  </conditionalFormatting>
  <conditionalFormatting sqref="CT16:CU16">
    <cfRule type="endsWith" dxfId="155" priority="124" operator="endsWith" text="n">
      <formula>RIGHT(CT16,LEN("n"))="n"</formula>
    </cfRule>
    <cfRule type="endsWith" dxfId="154" priority="125" operator="endsWith" text="y">
      <formula>RIGHT(CT16,LEN("y"))="y"</formula>
    </cfRule>
  </conditionalFormatting>
  <conditionalFormatting sqref="C53:E53">
    <cfRule type="expression" dxfId="153" priority="123">
      <formula>OR(CELL("row")=ROW())</formula>
    </cfRule>
  </conditionalFormatting>
  <conditionalFormatting sqref="DR53:DV53">
    <cfRule type="endsWith" dxfId="152" priority="121" operator="endsWith" text="n">
      <formula>RIGHT(DR53,LEN("n"))="n"</formula>
    </cfRule>
    <cfRule type="endsWith" dxfId="151" priority="122" operator="endsWith" text="y">
      <formula>RIGHT(DR53,LEN("y"))="y"</formula>
    </cfRule>
  </conditionalFormatting>
  <conditionalFormatting sqref="DW53:EA53">
    <cfRule type="endsWith" dxfId="150" priority="119" operator="endsWith" text="n">
      <formula>RIGHT(DW53,LEN("n"))="n"</formula>
    </cfRule>
    <cfRule type="endsWith" dxfId="149" priority="120" operator="endsWith" text="y">
      <formula>RIGHT(DW53,LEN("y"))="y"</formula>
    </cfRule>
  </conditionalFormatting>
  <conditionalFormatting sqref="EB53:EF53">
    <cfRule type="endsWith" dxfId="148" priority="117" operator="endsWith" text="n">
      <formula>RIGHT(EB53,LEN("n"))="n"</formula>
    </cfRule>
    <cfRule type="endsWith" dxfId="147" priority="118" operator="endsWith" text="y">
      <formula>RIGHT(EB53,LEN("y"))="y"</formula>
    </cfRule>
  </conditionalFormatting>
  <conditionalFormatting sqref="EG53:EK53">
    <cfRule type="endsWith" dxfId="146" priority="115" operator="endsWith" text="n">
      <formula>RIGHT(EG53,LEN("n"))="n"</formula>
    </cfRule>
    <cfRule type="endsWith" dxfId="145" priority="116" operator="endsWith" text="y">
      <formula>RIGHT(EG53,LEN("y"))="y"</formula>
    </cfRule>
  </conditionalFormatting>
  <conditionalFormatting sqref="EL53:EP53">
    <cfRule type="endsWith" dxfId="144" priority="113" operator="endsWith" text="n">
      <formula>RIGHT(EL53,LEN("n"))="n"</formula>
    </cfRule>
    <cfRule type="endsWith" dxfId="143" priority="114" operator="endsWith" text="y">
      <formula>RIGHT(EL53,LEN("y"))="y"</formula>
    </cfRule>
  </conditionalFormatting>
  <conditionalFormatting sqref="AU46:BK46">
    <cfRule type="endsWith" dxfId="142" priority="111" operator="endsWith" text="n">
      <formula>RIGHT(AU46,LEN("n"))="n"</formula>
    </cfRule>
    <cfRule type="endsWith" dxfId="141" priority="112" operator="endsWith" text="y">
      <formula>RIGHT(AU46,LEN("y"))="y"</formula>
    </cfRule>
  </conditionalFormatting>
  <conditionalFormatting sqref="EB46:EP46">
    <cfRule type="endsWith" dxfId="140" priority="109" operator="endsWith" text="n">
      <formula>RIGHT(EB46,LEN("n"))="n"</formula>
    </cfRule>
    <cfRule type="endsWith" dxfId="139" priority="110" operator="endsWith" text="y">
      <formula>RIGHT(EB46,LEN("y"))="y"</formula>
    </cfRule>
  </conditionalFormatting>
  <conditionalFormatting sqref="CB18:CJ18">
    <cfRule type="endsWith" dxfId="138" priority="107" operator="endsWith" text="n">
      <formula>RIGHT(CB18,LEN("n"))="n"</formula>
    </cfRule>
    <cfRule type="endsWith" dxfId="137" priority="108" operator="endsWith" text="y">
      <formula>RIGHT(CB18,LEN("y"))="y"</formula>
    </cfRule>
  </conditionalFormatting>
  <conditionalFormatting sqref="CV18:CW18">
    <cfRule type="endsWith" dxfId="136" priority="105" operator="endsWith" text="n">
      <formula>RIGHT(CV18,LEN("n"))="n"</formula>
    </cfRule>
    <cfRule type="endsWith" dxfId="135" priority="106" operator="endsWith" text="y">
      <formula>RIGHT(CV18,LEN("y"))="y"</formula>
    </cfRule>
  </conditionalFormatting>
  <conditionalFormatting sqref="CX18:CY18">
    <cfRule type="endsWith" dxfId="134" priority="103" operator="endsWith" text="n">
      <formula>RIGHT(CX18,LEN("n"))="n"</formula>
    </cfRule>
    <cfRule type="endsWith" dxfId="133" priority="104" operator="endsWith" text="y">
      <formula>RIGHT(CX18,LEN("y"))="y"</formula>
    </cfRule>
  </conditionalFormatting>
  <conditionalFormatting sqref="CZ18:DA18">
    <cfRule type="endsWith" dxfId="132" priority="101" operator="endsWith" text="n">
      <formula>RIGHT(CZ18,LEN("n"))="n"</formula>
    </cfRule>
    <cfRule type="endsWith" dxfId="131" priority="102" operator="endsWith" text="y">
      <formula>RIGHT(CZ18,LEN("y"))="y"</formula>
    </cfRule>
  </conditionalFormatting>
  <conditionalFormatting sqref="DB18:DC18">
    <cfRule type="endsWith" dxfId="130" priority="99" operator="endsWith" text="n">
      <formula>RIGHT(DB18,LEN("n"))="n"</formula>
    </cfRule>
    <cfRule type="endsWith" dxfId="129" priority="100" operator="endsWith" text="y">
      <formula>RIGHT(DB18,LEN("y"))="y"</formula>
    </cfRule>
  </conditionalFormatting>
  <conditionalFormatting sqref="DD18:DE18">
    <cfRule type="endsWith" dxfId="128" priority="97" operator="endsWith" text="n">
      <formula>RIGHT(DD18,LEN("n"))="n"</formula>
    </cfRule>
    <cfRule type="endsWith" dxfId="127" priority="98" operator="endsWith" text="y">
      <formula>RIGHT(DD18,LEN("y"))="y"</formula>
    </cfRule>
  </conditionalFormatting>
  <conditionalFormatting sqref="DR54:DV54">
    <cfRule type="endsWith" dxfId="126" priority="95" operator="endsWith" text="n">
      <formula>RIGHT(DR54,LEN("n"))="n"</formula>
    </cfRule>
    <cfRule type="endsWith" dxfId="125" priority="96" operator="endsWith" text="y">
      <formula>RIGHT(DR54,LEN("y"))="y"</formula>
    </cfRule>
  </conditionalFormatting>
  <conditionalFormatting sqref="EB54:EF54">
    <cfRule type="endsWith" dxfId="124" priority="93" operator="endsWith" text="n">
      <formula>RIGHT(EB54,LEN("n"))="n"</formula>
    </cfRule>
    <cfRule type="endsWith" dxfId="123" priority="94" operator="endsWith" text="y">
      <formula>RIGHT(EB54,LEN("y"))="y"</formula>
    </cfRule>
  </conditionalFormatting>
  <conditionalFormatting sqref="EG54:EK54">
    <cfRule type="endsWith" dxfId="122" priority="91" operator="endsWith" text="n">
      <formula>RIGHT(EG54,LEN("n"))="n"</formula>
    </cfRule>
    <cfRule type="endsWith" dxfId="121" priority="92" operator="endsWith" text="y">
      <formula>RIGHT(EG54,LEN("y"))="y"</formula>
    </cfRule>
  </conditionalFormatting>
  <conditionalFormatting sqref="EL54:EP54">
    <cfRule type="endsWith" dxfId="120" priority="89" operator="endsWith" text="n">
      <formula>RIGHT(EL54,LEN("n"))="n"</formula>
    </cfRule>
    <cfRule type="endsWith" dxfId="119" priority="90" operator="endsWith" text="y">
      <formula>RIGHT(EL54,LEN("y"))="y"</formula>
    </cfRule>
  </conditionalFormatting>
  <conditionalFormatting sqref="AU22 AX22:BK22">
    <cfRule type="endsWith" dxfId="118" priority="87" operator="endsWith" text="n">
      <formula>RIGHT(AU22,LEN("n"))="n"</formula>
    </cfRule>
    <cfRule type="endsWith" dxfId="117" priority="88" operator="endsWith" text="y">
      <formula>RIGHT(AU22,LEN("y"))="y"</formula>
    </cfRule>
  </conditionalFormatting>
  <conditionalFormatting sqref="AU17 AX17:BK17">
    <cfRule type="endsWith" dxfId="116" priority="85" operator="endsWith" text="n">
      <formula>RIGHT(AU17,LEN("n"))="n"</formula>
    </cfRule>
    <cfRule type="endsWith" dxfId="115" priority="86" operator="endsWith" text="y">
      <formula>RIGHT(AU17,LEN("y"))="y"</formula>
    </cfRule>
  </conditionalFormatting>
  <conditionalFormatting sqref="H55">
    <cfRule type="containsText" dxfId="114" priority="83" operator="containsText" text="yes">
      <formula>NOT(ISERROR(SEARCH("yes",H55)))</formula>
    </cfRule>
    <cfRule type="endsWith" dxfId="113" priority="84" operator="endsWith" text="no">
      <formula>RIGHT(H55,LEN("no"))="no"</formula>
    </cfRule>
  </conditionalFormatting>
  <conditionalFormatting sqref="H55">
    <cfRule type="containsText" dxfId="112" priority="82" operator="containsText" text="pending">
      <formula>NOT(ISERROR(SEARCH("pending",H55)))</formula>
    </cfRule>
  </conditionalFormatting>
  <conditionalFormatting sqref="H55">
    <cfRule type="expression" dxfId="111" priority="81">
      <formula>OR(CELL("row")=ROW())</formula>
    </cfRule>
  </conditionalFormatting>
  <conditionalFormatting sqref="H56">
    <cfRule type="containsText" dxfId="110" priority="79" operator="containsText" text="yes">
      <formula>NOT(ISERROR(SEARCH("yes",H56)))</formula>
    </cfRule>
    <cfRule type="endsWith" dxfId="109" priority="80" operator="endsWith" text="no">
      <formula>RIGHT(H56,LEN("no"))="no"</formula>
    </cfRule>
  </conditionalFormatting>
  <conditionalFormatting sqref="H56">
    <cfRule type="containsText" dxfId="108" priority="78" operator="containsText" text="pending">
      <formula>NOT(ISERROR(SEARCH("pending",H56)))</formula>
    </cfRule>
  </conditionalFormatting>
  <conditionalFormatting sqref="H56">
    <cfRule type="expression" dxfId="107" priority="77">
      <formula>OR(CELL("row")=ROW())</formula>
    </cfRule>
  </conditionalFormatting>
  <conditionalFormatting sqref="BM57">
    <cfRule type="containsText" dxfId="106" priority="75" operator="containsText" text="yes">
      <formula>NOT(ISERROR(SEARCH("yes",BM57)))</formula>
    </cfRule>
    <cfRule type="endsWith" dxfId="105" priority="76" operator="endsWith" text="no">
      <formula>RIGHT(BM57,LEN("no"))="no"</formula>
    </cfRule>
  </conditionalFormatting>
  <conditionalFormatting sqref="BM57">
    <cfRule type="expression" dxfId="104" priority="74">
      <formula>OR(CELL("row")=ROW())</formula>
    </cfRule>
  </conditionalFormatting>
  <conditionalFormatting sqref="BM56">
    <cfRule type="containsText" dxfId="103" priority="72" operator="containsText" text="yes">
      <formula>NOT(ISERROR(SEARCH("yes",BM56)))</formula>
    </cfRule>
    <cfRule type="endsWith" dxfId="102" priority="73" operator="endsWith" text="no">
      <formula>RIGHT(BM56,LEN("no"))="no"</formula>
    </cfRule>
  </conditionalFormatting>
  <conditionalFormatting sqref="BM56">
    <cfRule type="expression" dxfId="101" priority="71">
      <formula>OR(CELL("row")=ROW())</formula>
    </cfRule>
  </conditionalFormatting>
  <conditionalFormatting sqref="BM55">
    <cfRule type="containsText" dxfId="100" priority="69" operator="containsText" text="yes">
      <formula>NOT(ISERROR(SEARCH("yes",BM55)))</formula>
    </cfRule>
    <cfRule type="endsWith" dxfId="99" priority="70" operator="endsWith" text="no">
      <formula>RIGHT(BM55,LEN("no"))="no"</formula>
    </cfRule>
  </conditionalFormatting>
  <conditionalFormatting sqref="BM55">
    <cfRule type="expression" dxfId="98" priority="68">
      <formula>OR(CELL("row")=ROW())</formula>
    </cfRule>
  </conditionalFormatting>
  <conditionalFormatting sqref="DR57:DV57">
    <cfRule type="endsWith" dxfId="97" priority="66" operator="endsWith" text="n">
      <formula>RIGHT(DR57,LEN("n"))="n"</formula>
    </cfRule>
    <cfRule type="endsWith" dxfId="96" priority="67" operator="endsWith" text="y">
      <formula>RIGHT(DR57,LEN("y"))="y"</formula>
    </cfRule>
  </conditionalFormatting>
  <conditionalFormatting sqref="EB57:EF57">
    <cfRule type="endsWith" dxfId="95" priority="64" operator="endsWith" text="n">
      <formula>RIGHT(EB57,LEN("n"))="n"</formula>
    </cfRule>
    <cfRule type="endsWith" dxfId="94" priority="65" operator="endsWith" text="y">
      <formula>RIGHT(EB57,LEN("y"))="y"</formula>
    </cfRule>
  </conditionalFormatting>
  <conditionalFormatting sqref="DR56:DV56">
    <cfRule type="endsWith" dxfId="93" priority="62" operator="endsWith" text="n">
      <formula>RIGHT(DR56,LEN("n"))="n"</formula>
    </cfRule>
    <cfRule type="endsWith" dxfId="92" priority="63" operator="endsWith" text="y">
      <formula>RIGHT(DR56,LEN("y"))="y"</formula>
    </cfRule>
  </conditionalFormatting>
  <conditionalFormatting sqref="EB56:EF56">
    <cfRule type="endsWith" dxfId="91" priority="60" operator="endsWith" text="n">
      <formula>RIGHT(EB56,LEN("n"))="n"</formula>
    </cfRule>
    <cfRule type="endsWith" dxfId="90" priority="61" operator="endsWith" text="y">
      <formula>RIGHT(EB56,LEN("y"))="y"</formula>
    </cfRule>
  </conditionalFormatting>
  <conditionalFormatting sqref="EG56:EK56">
    <cfRule type="endsWith" dxfId="89" priority="58" operator="endsWith" text="n">
      <formula>RIGHT(EG56,LEN("n"))="n"</formula>
    </cfRule>
    <cfRule type="endsWith" dxfId="88" priority="59" operator="endsWith" text="y">
      <formula>RIGHT(EG56,LEN("y"))="y"</formula>
    </cfRule>
  </conditionalFormatting>
  <conditionalFormatting sqref="C58:C59">
    <cfRule type="expression" dxfId="87" priority="57">
      <formula>OR(CELL("row")=ROW())</formula>
    </cfRule>
  </conditionalFormatting>
  <conditionalFormatting sqref="C60">
    <cfRule type="expression" dxfId="86" priority="56">
      <formula>OR(CELL("row")=ROW())</formula>
    </cfRule>
  </conditionalFormatting>
  <conditionalFormatting sqref="D62:D73">
    <cfRule type="expression" dxfId="85" priority="55">
      <formula>OR(CELL("row")=ROW())</formula>
    </cfRule>
  </conditionalFormatting>
  <conditionalFormatting sqref="BV62:BV73">
    <cfRule type="endsWith" dxfId="84" priority="53" operator="endsWith" text="n">
      <formula>RIGHT(BV62,LEN("n"))="n"</formula>
    </cfRule>
    <cfRule type="endsWith" dxfId="83" priority="54" operator="endsWith" text="y">
      <formula>RIGHT(BV62,LEN("y"))="y"</formula>
    </cfRule>
  </conditionalFormatting>
  <conditionalFormatting sqref="CA62:CA73">
    <cfRule type="endsWith" dxfId="82" priority="51" operator="endsWith" text="n">
      <formula>RIGHT(CA62,LEN("n"))="n"</formula>
    </cfRule>
    <cfRule type="endsWith" dxfId="81" priority="52" operator="endsWith" text="y">
      <formula>RIGHT(CA62,LEN("y"))="y"</formula>
    </cfRule>
  </conditionalFormatting>
  <conditionalFormatting sqref="CK62:CK73">
    <cfRule type="endsWith" dxfId="80" priority="49" operator="endsWith" text="n">
      <formula>RIGHT(CK62,LEN("n"))="n"</formula>
    </cfRule>
    <cfRule type="endsWith" dxfId="79" priority="50" operator="endsWith" text="y">
      <formula>RIGHT(CK62,LEN("y"))="y"</formula>
    </cfRule>
  </conditionalFormatting>
  <conditionalFormatting sqref="AV22:AW22">
    <cfRule type="endsWith" dxfId="78" priority="47" operator="endsWith" text="n">
      <formula>RIGHT(AV22,LEN("n"))="n"</formula>
    </cfRule>
    <cfRule type="endsWith" dxfId="77" priority="48" operator="endsWith" text="y">
      <formula>RIGHT(AV22,LEN("y"))="y"</formula>
    </cfRule>
  </conditionalFormatting>
  <conditionalFormatting sqref="AV55:AW55">
    <cfRule type="endsWith" dxfId="76" priority="45" operator="endsWith" text="n">
      <formula>RIGHT(AV55,LEN("n"))="n"</formula>
    </cfRule>
    <cfRule type="endsWith" dxfId="75" priority="46" operator="endsWith" text="y">
      <formula>RIGHT(AV55,LEN("y"))="y"</formula>
    </cfRule>
  </conditionalFormatting>
  <conditionalFormatting sqref="AV17:AW17">
    <cfRule type="endsWith" dxfId="74" priority="43" operator="endsWith" text="n">
      <formula>RIGHT(AV17,LEN("n"))="n"</formula>
    </cfRule>
    <cfRule type="endsWith" dxfId="73" priority="44" operator="endsWith" text="y">
      <formula>RIGHT(AV17,LEN("y"))="y"</formula>
    </cfRule>
  </conditionalFormatting>
  <conditionalFormatting sqref="AV62:AW73">
    <cfRule type="endsWith" dxfId="72" priority="41" operator="endsWith" text="n">
      <formula>RIGHT(AV62,LEN("n"))="n"</formula>
    </cfRule>
    <cfRule type="endsWith" dxfId="71" priority="42" operator="endsWith" text="y">
      <formula>RIGHT(AV62,LEN("y"))="y"</formula>
    </cfRule>
  </conditionalFormatting>
  <conditionalFormatting sqref="AV60:AW60">
    <cfRule type="endsWith" dxfId="70" priority="39" operator="endsWith" text="n">
      <formula>RIGHT(AV60,LEN("n"))="n"</formula>
    </cfRule>
    <cfRule type="endsWith" dxfId="69" priority="40" operator="endsWith" text="y">
      <formula>RIGHT(AV60,LEN("y"))="y"</formula>
    </cfRule>
  </conditionalFormatting>
  <conditionalFormatting sqref="AV56:AW56">
    <cfRule type="endsWith" dxfId="68" priority="37" operator="endsWith" text="n">
      <formula>RIGHT(AV56,LEN("n"))="n"</formula>
    </cfRule>
    <cfRule type="endsWith" dxfId="67" priority="38" operator="endsWith" text="y">
      <formula>RIGHT(AV56,LEN("y"))="y"</formula>
    </cfRule>
  </conditionalFormatting>
  <conditionalFormatting sqref="AV53:AW53">
    <cfRule type="endsWith" dxfId="66" priority="35" operator="endsWith" text="n">
      <formula>RIGHT(AV53,LEN("n"))="n"</formula>
    </cfRule>
    <cfRule type="endsWith" dxfId="65" priority="36" operator="endsWith" text="y">
      <formula>RIGHT(AV53,LEN("y"))="y"</formula>
    </cfRule>
  </conditionalFormatting>
  <conditionalFormatting sqref="AX37:AY37">
    <cfRule type="endsWith" dxfId="64" priority="33" operator="endsWith" text="n">
      <formula>RIGHT(AX37,LEN("n"))="n"</formula>
    </cfRule>
    <cfRule type="endsWith" dxfId="63" priority="34" operator="endsWith" text="y">
      <formula>RIGHT(AX37,LEN("y"))="y"</formula>
    </cfRule>
  </conditionalFormatting>
  <conditionalFormatting sqref="AX41:AY41">
    <cfRule type="endsWith" dxfId="62" priority="31" operator="endsWith" text="n">
      <formula>RIGHT(AX41,LEN("n"))="n"</formula>
    </cfRule>
    <cfRule type="endsWith" dxfId="61" priority="32" operator="endsWith" text="y">
      <formula>RIGHT(AX41,LEN("y"))="y"</formula>
    </cfRule>
  </conditionalFormatting>
  <conditionalFormatting sqref="AX44:AY44">
    <cfRule type="endsWith" dxfId="60" priority="29" operator="endsWith" text="n">
      <formula>RIGHT(AX44,LEN("n"))="n"</formula>
    </cfRule>
    <cfRule type="endsWith" dxfId="59" priority="30" operator="endsWith" text="y">
      <formula>RIGHT(AX44,LEN("y"))="y"</formula>
    </cfRule>
  </conditionalFormatting>
  <conditionalFormatting sqref="AX48:AY48">
    <cfRule type="endsWith" dxfId="58" priority="27" operator="endsWith" text="n">
      <formula>RIGHT(AX48,LEN("n"))="n"</formula>
    </cfRule>
    <cfRule type="endsWith" dxfId="57" priority="28" operator="endsWith" text="y">
      <formula>RIGHT(AX48,LEN("y"))="y"</formula>
    </cfRule>
  </conditionalFormatting>
  <conditionalFormatting sqref="AX18:AY18">
    <cfRule type="endsWith" dxfId="56" priority="25" operator="endsWith" text="n">
      <formula>RIGHT(AX18,LEN("n"))="n"</formula>
    </cfRule>
    <cfRule type="endsWith" dxfId="55" priority="26" operator="endsWith" text="y">
      <formula>RIGHT(AX18,LEN("y"))="y"</formula>
    </cfRule>
  </conditionalFormatting>
  <conditionalFormatting sqref="AX14:AY14">
    <cfRule type="endsWith" dxfId="54" priority="23" operator="endsWith" text="n">
      <formula>RIGHT(AX14,LEN("n"))="n"</formula>
    </cfRule>
    <cfRule type="endsWith" dxfId="53" priority="24" operator="endsWith" text="y">
      <formula>RIGHT(AX14,LEN("y"))="y"</formula>
    </cfRule>
  </conditionalFormatting>
  <conditionalFormatting sqref="AI14:AI39">
    <cfRule type="endsWith" dxfId="52" priority="21" operator="endsWith" text="n">
      <formula>RIGHT(AI14,LEN("n"))="n"</formula>
    </cfRule>
    <cfRule type="endsWith" dxfId="51" priority="22" operator="endsWith" text="y">
      <formula>RIGHT(AI14,LEN("y"))="y"</formula>
    </cfRule>
  </conditionalFormatting>
  <conditionalFormatting sqref="AI41:AI50">
    <cfRule type="endsWith" dxfId="50" priority="19" operator="endsWith" text="n">
      <formula>RIGHT(AI41,LEN("n"))="n"</formula>
    </cfRule>
    <cfRule type="endsWith" dxfId="49" priority="20" operator="endsWith" text="y">
      <formula>RIGHT(AI41,LEN("y"))="y"</formula>
    </cfRule>
  </conditionalFormatting>
  <conditionalFormatting sqref="AI51:AI60 AI62:AI73">
    <cfRule type="endsWith" dxfId="48" priority="17" operator="endsWith" text="n">
      <formula>RIGHT(AI51,LEN("n"))="n"</formula>
    </cfRule>
    <cfRule type="endsWith" dxfId="47" priority="18" operator="endsWith" text="y">
      <formula>RIGHT(AI51,LEN("y"))="y"</formula>
    </cfRule>
  </conditionalFormatting>
  <conditionalFormatting sqref="E31">
    <cfRule type="expression" dxfId="46" priority="16">
      <formula>OR(CELL("row")=ROW())</formula>
    </cfRule>
  </conditionalFormatting>
  <conditionalFormatting sqref="D61">
    <cfRule type="expression" dxfId="45" priority="15">
      <formula>OR(CELL("row")=ROW())</formula>
    </cfRule>
  </conditionalFormatting>
  <conditionalFormatting sqref="BV61">
    <cfRule type="endsWith" dxfId="44" priority="13" operator="endsWith" text="n">
      <formula>RIGHT(BV61,LEN("n"))="n"</formula>
    </cfRule>
    <cfRule type="endsWith" dxfId="43" priority="14" operator="endsWith" text="y">
      <formula>RIGHT(BV61,LEN("y"))="y"</formula>
    </cfRule>
  </conditionalFormatting>
  <conditionalFormatting sqref="CA61">
    <cfRule type="endsWith" dxfId="42" priority="11" operator="endsWith" text="n">
      <formula>RIGHT(CA61,LEN("n"))="n"</formula>
    </cfRule>
    <cfRule type="endsWith" dxfId="41" priority="12" operator="endsWith" text="y">
      <formula>RIGHT(CA61,LEN("y"))="y"</formula>
    </cfRule>
  </conditionalFormatting>
  <conditionalFormatting sqref="CK61">
    <cfRule type="endsWith" dxfId="40" priority="9" operator="endsWith" text="n">
      <formula>RIGHT(CK61,LEN("n"))="n"</formula>
    </cfRule>
    <cfRule type="endsWith" dxfId="39" priority="10" operator="endsWith" text="y">
      <formula>RIGHT(CK61,LEN("y"))="y"</formula>
    </cfRule>
  </conditionalFormatting>
  <conditionalFormatting sqref="AV61:AW61">
    <cfRule type="endsWith" dxfId="38" priority="7" operator="endsWith" text="n">
      <formula>RIGHT(AV61,LEN("n"))="n"</formula>
    </cfRule>
    <cfRule type="endsWith" dxfId="37" priority="8" operator="endsWith" text="y">
      <formula>RIGHT(AV61,LEN("y"))="y"</formula>
    </cfRule>
  </conditionalFormatting>
  <conditionalFormatting sqref="AI61">
    <cfRule type="endsWith" dxfId="36" priority="5" operator="endsWith" text="n">
      <formula>RIGHT(AI61,LEN("n"))="n"</formula>
    </cfRule>
    <cfRule type="endsWith" dxfId="35" priority="6" operator="endsWith" text="y">
      <formula>RIGHT(AI61,LEN("y"))="y"</formula>
    </cfRule>
  </conditionalFormatting>
  <conditionalFormatting sqref="F63">
    <cfRule type="containsText" dxfId="34" priority="4" operator="containsText" text="Systematic Review">
      <formula>NOT(ISERROR(SEARCH("Systematic Review",F63)))</formula>
    </cfRule>
  </conditionalFormatting>
  <conditionalFormatting sqref="F65">
    <cfRule type="containsText" dxfId="33" priority="3" operator="containsText" text="Systematic Review">
      <formula>NOT(ISERROR(SEARCH("Systematic Review",F65)))</formula>
    </cfRule>
  </conditionalFormatting>
  <conditionalFormatting sqref="F68">
    <cfRule type="containsText" dxfId="32" priority="2" operator="containsText" text="Systematic Review">
      <formula>NOT(ISERROR(SEARCH("Systematic Review",F68)))</formula>
    </cfRule>
  </conditionalFormatting>
  <conditionalFormatting sqref="F69">
    <cfRule type="containsText" dxfId="31" priority="1" operator="containsText" text="Systematic Review">
      <formula>NOT(ISERROR(SEARCH("Systematic Review",F69)))</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lists!$S$2:$S$6</xm:f>
          </x14:formula1>
          <xm:sqref>EV12:EX12 EX50:EX51 EX43:EX44 EX19:EX31 EX16 EV53:EX53 EV34:EW39 EV33:EX33 EV42:EW52 EV13:EW32 EX46:EX48 EV40:EX41 EX37:EX38 EX54:EX57 EX59 EV54:EW73 EX61:EX67 EX70:EX73</xm:sqref>
        </x14:dataValidation>
        <x14:dataValidation type="list" allowBlank="1" showInputMessage="1" showErrorMessage="1" xr:uid="{00000000-0002-0000-0100-000001000000}">
          <x14:formula1>
            <xm:f>lists!$S$2:$S$4</xm:f>
          </x14:formula1>
          <xm:sqref>CG4:CI4 CC14:CI14 CC15:CF17 CG16:CI17 CC54:CJ54 EG41 EL15:EL22 EG43:EG44 CH15:CI15 CG38:CI38 BU50 CG30:CG31 CC26:CI26 CG50:CI50 CJ30:CJ31 EG47:EG51 EL26 EL33:EL34 EG33:EG34 CG8:CI8 EL4 EV9:EW11 EV8:EX8 CE46:CI46 EG23:EG24 CH47:CI47 CH49:CI49 CG41:CI41 EL53:EL54 EL43:EL44 CH9:CI13 CH45:CI45 CE45:CF45 CE47:CF47 CH39:CI40 EL41 CC48:CI48 CC43:CI44 CC18:CJ18 CC33:CI33 CH27:CI32 CC27:CF32 EG14:EG21 EV4:EW7 CH42:CI42 CC4:CF13 CH5:CI7 EG4 EG27 CC49:CF53 CH51:CI53 CC45:CD47 EL47:EL51 CC19:CI19 CC37:CI37 CC38:CF42 EG37:EG38 EL37:EL38 CC25:CG25 CC22:CI22 BP56:BU56 CC34:CF36 FC4:FC47 CH23:CI25 CH34:CI36 EL24 CC20:CF21 CH20:CI21 CC23:CF24 CC57:CF60 EG53:EG56 BP57:BT60 BW4:BY60 CC55:CI56 V4:W60 BP4:BT55 P4:P60 EQ4:EQ60 K4:K60 FA4:FA60 DW4:DW60 FC49:FC60 CH57:CI60 EB4:EB60 BN4:BO60 DR4:DR73 CB4:CB60 DG4:DM73</xm:sqref>
        </x14:dataValidation>
        <x14:dataValidation type="list" allowBlank="1" showInputMessage="1" showErrorMessage="1" xr:uid="{00000000-0002-0000-0100-000004000000}">
          <x14:formula1>
            <xm:f>lists!$K$2:$K$5</xm:f>
          </x14:formula1>
          <xm:sqref>CG15 CG5:CG7 CG27:CG29 CG47 CG42 CG9:CG13 CG49 CG45 CG39:CG40 CG23:CG24 CG32 CG51:CG53 CG34:CG36 CG20:CG21 CG57:CG60</xm:sqref>
        </x14:dataValidation>
        <x14:dataValidation type="list" allowBlank="1" showInputMessage="1" showErrorMessage="1" xr:uid="{00000000-0002-0000-0100-000005000000}">
          <x14:formula1>
            <xm:f>lists!$S$2:$S$7</xm:f>
          </x14:formula1>
          <xm:sqref>EL42 EL5:EL14 EG45:EG46 EG22 AP4:AT20 EG39:EG40 EG28:EG32 EL45:EL46 EG35:EG36 EG5:EG13 EL35:EL36 EL27:EL32 EG52 EL52 EG42 EL39:EL40 EG25:EG26 AP23:AT46 EL25 EL23 EG57:EG60 AN4:AN60 EL55:EL60 AJ4:AJ60 AP48:AT60 AT85:AT1048576 AT80:AT83 AT76 AL4:AL60</xm:sqref>
        </x14:dataValidation>
        <x14:dataValidation type="list" allowBlank="1" showInputMessage="1" showErrorMessage="1" xr:uid="{00000000-0002-0000-0100-00000C000000}">
          <x14:formula1>
            <xm:f>lists!$M$2:$M$9</xm:f>
          </x14:formula1>
          <xm:sqref>EE18 DU7:DU8 DZ18 EJ18 EO18 DZ48:DZ49 EE47:EE51 EO4 DU46:DU51 EJ47:EJ51 EO53:EO54 DZ53 DU15:DU18 DU4 EE4 EJ4 EO47:EO51 DU38 DU25 EE25 DU53:DU57 EE53:EE57 EJ53:EJ56 DU59 DP4:DP73 DP76:DP1048576 DU61:DU73</xm:sqref>
        </x14:dataValidation>
        <x14:dataValidation type="list" allowBlank="1" showInputMessage="1" showErrorMessage="1" xr:uid="{00000000-0002-0000-0100-00000D000000}">
          <x14:formula1>
            <xm:f>lists!$M$2:$M$8</xm:f>
          </x14:formula1>
          <xm:sqref>EO5:EO17 EO19:EO46 EF15 DU9:DU14 DU52 DZ50:DZ52 EE52 EJ52 EO52 DU5:DU6 EJ19:EJ46 EE16:EE17 EE5:EE14 EJ5:EJ17 EE1:EE3 EJ1:EJ3 EO1:EO3 DU39:DU45 DZ19:DZ47 DU26:DU37 EE19:EE24 EE26:EE46 DU19:DU24 DU58 DZ1:DZ17 EE58:EE73 DU76:DU1048576 DZ76:DZ1048576 EO76:EO1048576 EJ76:EJ1048576 EE76:EE1048576 EJ57:EJ73 EO55:EO73 DZ54:DZ73 DU60</xm:sqref>
        </x14:dataValidation>
        <x14:dataValidation type="list" allowBlank="1" showInputMessage="1" showErrorMessage="1" xr:uid="{00000000-0002-0000-0100-000002000000}">
          <x14:formula1>
            <xm:f>lists!$E$2:$E$6</xm:f>
          </x14:formula1>
          <xm:sqref>T4:T13 T15:T60</xm:sqref>
        </x14:dataValidation>
        <x14:dataValidation type="list" allowBlank="1" showInputMessage="1" showErrorMessage="1" xr:uid="{00000000-0002-0000-0100-000003000000}">
          <x14:formula1>
            <xm:f>lists!$O$2:$O$7</xm:f>
          </x14:formula1>
          <xm:sqref>ET4:ET13 ET15:ET60</xm:sqref>
        </x14:dataValidation>
        <x14:dataValidation type="list" allowBlank="1" showInputMessage="1" showErrorMessage="1" xr:uid="{00000000-0002-0000-0100-000006000000}">
          <x14:formula1>
            <xm:f>lists!$C$2:$C$4</xm:f>
          </x14:formula1>
          <xm:sqref>L4:L60</xm:sqref>
        </x14:dataValidation>
        <x14:dataValidation type="list" allowBlank="1" showInputMessage="1" showErrorMessage="1" xr:uid="{00000000-0002-0000-0100-000007000000}">
          <x14:formula1>
            <xm:f>lists!$I$2:$I$5</xm:f>
          </x14:formula1>
          <xm:sqref>BL4:BL60</xm:sqref>
        </x14:dataValidation>
        <x14:dataValidation type="list" allowBlank="1" showInputMessage="1" showErrorMessage="1" xr:uid="{00000000-0002-0000-0100-000008000000}">
          <x14:formula1>
            <xm:f>lists!$Q$2:$Q$3</xm:f>
          </x14:formula1>
          <xm:sqref>EY4:EY60</xm:sqref>
        </x14:dataValidation>
        <x14:dataValidation type="list" allowBlank="1" showInputMessage="1" showErrorMessage="1" xr:uid="{00000000-0002-0000-0100-000009000000}">
          <x14:formula1>
            <xm:f>lists!$Q$7:$Q$8</xm:f>
          </x14:formula1>
          <xm:sqref>EZ4:EZ60</xm:sqref>
        </x14:dataValidation>
        <x14:dataValidation type="list" allowBlank="1" showInputMessage="1" showErrorMessage="1" xr:uid="{00000000-0002-0000-0100-00000A000000}">
          <x14:formula1>
            <xm:f>lists!$G$2:$G$5</xm:f>
          </x14:formula1>
          <xm:sqref>CR4:CR60 CT4:CT60 CL4:CL60 CP4:CP60 CN4:CN60 CX4:CX60 CV4:CV60 DB4:DB60 DD4:DD60 CZ4:CZ60</xm:sqref>
        </x14:dataValidation>
        <x14:dataValidation type="list" allowBlank="1" showInputMessage="1" showErrorMessage="1" xr:uid="{00000000-0002-0000-0100-00000B000000}">
          <x14:formula1>
            <xm:f>lists!$A$2:$A$9</xm:f>
          </x14:formula1>
          <xm:sqref>F4:F60 F63 F65 F68:F69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51"/>
  <sheetViews>
    <sheetView workbookViewId="0">
      <pane xSplit="2" ySplit="3" topLeftCell="AJ4" activePane="bottomRight" state="frozen"/>
      <selection pane="bottomRight" activeCell="AN72" sqref="AN72"/>
      <selection pane="bottomLeft" activeCell="A17" sqref="A17"/>
      <selection pane="topRight" activeCell="B1" sqref="B1"/>
    </sheetView>
  </sheetViews>
  <sheetFormatPr defaultColWidth="0" defaultRowHeight="15"/>
  <cols>
    <col min="1" max="1" width="0" hidden="1" customWidth="1"/>
    <col min="2" max="2" width="11.7109375" bestFit="1" customWidth="1"/>
    <col min="3" max="3" width="7.42578125" bestFit="1" customWidth="1"/>
    <col min="4" max="4" width="16.140625" customWidth="1"/>
    <col min="5" max="5" width="9.140625"/>
    <col min="6" max="6" width="41.85546875" bestFit="1" customWidth="1"/>
    <col min="7" max="19" width="9.140625"/>
    <col min="20" max="20" width="10.85546875" customWidth="1"/>
    <col min="21" max="33" width="9.140625"/>
    <col min="34" max="34" width="10.140625" customWidth="1"/>
    <col min="35" max="36" width="9.140625"/>
    <col min="37" max="37" width="26.28515625" bestFit="1" customWidth="1"/>
    <col min="38" max="54" width="16.42578125" style="17" customWidth="1"/>
    <col min="55" max="59" width="9.140625"/>
    <col min="60" max="60" width="12.5703125" customWidth="1"/>
    <col min="61" max="61" width="0" hidden="1" customWidth="1"/>
  </cols>
  <sheetData>
    <row r="1" spans="2:72">
      <c r="E1" s="147">
        <v>1</v>
      </c>
      <c r="F1" s="147"/>
      <c r="G1" s="147">
        <v>2</v>
      </c>
      <c r="H1" s="147"/>
      <c r="I1" s="147">
        <v>3</v>
      </c>
      <c r="J1" s="147"/>
      <c r="K1" s="147">
        <v>4</v>
      </c>
      <c r="L1" s="147"/>
      <c r="M1" s="147">
        <v>5</v>
      </c>
      <c r="N1" s="147"/>
      <c r="O1" s="147">
        <v>6</v>
      </c>
      <c r="P1" s="147"/>
      <c r="Q1" s="147">
        <v>7</v>
      </c>
      <c r="R1" s="147"/>
      <c r="S1" s="147">
        <v>8</v>
      </c>
      <c r="T1" s="147"/>
      <c r="U1" s="147">
        <v>9</v>
      </c>
      <c r="V1" s="147"/>
      <c r="W1" s="147">
        <v>10</v>
      </c>
      <c r="X1" s="147"/>
      <c r="Y1" s="147">
        <v>11</v>
      </c>
      <c r="Z1" s="147"/>
      <c r="AA1" s="147">
        <v>12</v>
      </c>
      <c r="AB1" s="147"/>
      <c r="AC1" s="147">
        <v>13</v>
      </c>
      <c r="AD1" s="147"/>
      <c r="AE1" s="147">
        <v>14</v>
      </c>
      <c r="AF1" s="147"/>
      <c r="AG1" s="147">
        <v>15</v>
      </c>
      <c r="AH1" s="147"/>
      <c r="AI1" s="147">
        <v>16</v>
      </c>
      <c r="AJ1" s="147"/>
      <c r="AL1" s="59">
        <v>1</v>
      </c>
      <c r="AM1" s="59">
        <v>2</v>
      </c>
      <c r="AN1" s="59">
        <v>3</v>
      </c>
      <c r="AO1" s="59">
        <v>4</v>
      </c>
      <c r="AP1" s="59">
        <v>5</v>
      </c>
      <c r="AQ1" s="59">
        <v>6</v>
      </c>
      <c r="AR1" s="59">
        <v>7</v>
      </c>
      <c r="AS1" s="59">
        <v>8</v>
      </c>
      <c r="AT1" s="59">
        <v>9</v>
      </c>
      <c r="AU1" s="59">
        <v>10</v>
      </c>
      <c r="AV1" s="59">
        <v>11</v>
      </c>
      <c r="AW1" s="59">
        <v>12</v>
      </c>
      <c r="AX1" s="59">
        <v>13</v>
      </c>
      <c r="AY1" s="59">
        <v>14</v>
      </c>
      <c r="AZ1" s="59">
        <v>15</v>
      </c>
      <c r="BA1" s="59">
        <v>16</v>
      </c>
      <c r="BB1" s="59"/>
      <c r="BI1" s="1"/>
      <c r="BJ1" s="1"/>
      <c r="BK1" s="1"/>
      <c r="BL1" s="1"/>
      <c r="BM1" s="1"/>
      <c r="BN1" s="1"/>
      <c r="BO1" s="1"/>
      <c r="BP1" s="1"/>
      <c r="BQ1" s="1"/>
      <c r="BR1" s="1"/>
      <c r="BS1" s="1"/>
      <c r="BT1" s="1"/>
    </row>
    <row r="2" spans="2:72" s="1" customFormat="1" ht="60">
      <c r="B2" s="6"/>
      <c r="C2" s="6"/>
      <c r="D2" s="6"/>
      <c r="E2" s="148" t="s">
        <v>1459</v>
      </c>
      <c r="F2" s="148"/>
      <c r="G2" s="148" t="s">
        <v>1460</v>
      </c>
      <c r="H2" s="148"/>
      <c r="I2" s="148" t="s">
        <v>1461</v>
      </c>
      <c r="J2" s="148"/>
      <c r="K2" s="148" t="s">
        <v>1462</v>
      </c>
      <c r="L2" s="148"/>
      <c r="M2" s="148" t="s">
        <v>1463</v>
      </c>
      <c r="N2" s="148"/>
      <c r="O2" s="148" t="s">
        <v>1464</v>
      </c>
      <c r="P2" s="148"/>
      <c r="Q2" s="148" t="s">
        <v>1465</v>
      </c>
      <c r="R2" s="148"/>
      <c r="S2" s="148" t="s">
        <v>1466</v>
      </c>
      <c r="T2" s="148"/>
      <c r="U2" s="148" t="s">
        <v>1467</v>
      </c>
      <c r="V2" s="148"/>
      <c r="W2" s="148" t="s">
        <v>1468</v>
      </c>
      <c r="X2" s="148"/>
      <c r="Y2" s="148" t="s">
        <v>1469</v>
      </c>
      <c r="Z2" s="148"/>
      <c r="AA2" s="148" t="s">
        <v>1470</v>
      </c>
      <c r="AB2" s="148"/>
      <c r="AC2" s="148" t="s">
        <v>1471</v>
      </c>
      <c r="AD2" s="148"/>
      <c r="AE2" s="148" t="s">
        <v>1472</v>
      </c>
      <c r="AF2" s="148"/>
      <c r="AG2" s="148" t="s">
        <v>1473</v>
      </c>
      <c r="AH2" s="148"/>
      <c r="AI2" s="148" t="s">
        <v>1474</v>
      </c>
      <c r="AJ2" s="148"/>
      <c r="AK2" s="6"/>
      <c r="AL2" s="58" t="s">
        <v>207</v>
      </c>
      <c r="AM2" s="56" t="s">
        <v>1460</v>
      </c>
      <c r="AN2" s="56" t="s">
        <v>1461</v>
      </c>
      <c r="AO2" s="58" t="s">
        <v>1462</v>
      </c>
      <c r="AP2" s="56" t="s">
        <v>1463</v>
      </c>
      <c r="AQ2" s="56" t="s">
        <v>1464</v>
      </c>
      <c r="AR2" s="56" t="s">
        <v>1465</v>
      </c>
      <c r="AS2" s="58" t="s">
        <v>1466</v>
      </c>
      <c r="AT2" s="58" t="s">
        <v>1467</v>
      </c>
      <c r="AU2" s="56" t="s">
        <v>1468</v>
      </c>
      <c r="AV2" s="58" t="s">
        <v>1469</v>
      </c>
      <c r="AW2" s="58" t="s">
        <v>1470</v>
      </c>
      <c r="AX2" s="56" t="s">
        <v>1471</v>
      </c>
      <c r="AY2" s="56" t="s">
        <v>1472</v>
      </c>
      <c r="AZ2" s="58" t="s">
        <v>1473</v>
      </c>
      <c r="BA2" s="58" t="s">
        <v>1474</v>
      </c>
      <c r="BB2" s="56" t="s">
        <v>1475</v>
      </c>
      <c r="BC2" s="6" t="s">
        <v>1476</v>
      </c>
      <c r="BD2" s="6" t="s">
        <v>1477</v>
      </c>
      <c r="BE2" s="6" t="s">
        <v>1478</v>
      </c>
      <c r="BF2" s="6" t="s">
        <v>1479</v>
      </c>
      <c r="BG2" s="6" t="s">
        <v>1480</v>
      </c>
      <c r="BH2" s="6" t="s">
        <v>1481</v>
      </c>
    </row>
    <row r="3" spans="2:72">
      <c r="B3" s="7" t="s">
        <v>43</v>
      </c>
      <c r="C3" s="7" t="s">
        <v>44</v>
      </c>
      <c r="D3" s="7" t="s">
        <v>45</v>
      </c>
      <c r="E3" s="7" t="s">
        <v>1482</v>
      </c>
      <c r="F3" s="7" t="s">
        <v>48</v>
      </c>
      <c r="G3" s="7" t="s">
        <v>1482</v>
      </c>
      <c r="H3" s="7" t="s">
        <v>48</v>
      </c>
      <c r="I3" s="7" t="s">
        <v>1482</v>
      </c>
      <c r="J3" s="7" t="s">
        <v>48</v>
      </c>
      <c r="K3" s="7" t="s">
        <v>1482</v>
      </c>
      <c r="L3" s="7" t="s">
        <v>48</v>
      </c>
      <c r="M3" s="7" t="s">
        <v>1482</v>
      </c>
      <c r="N3" s="7" t="s">
        <v>48</v>
      </c>
      <c r="O3" s="7" t="s">
        <v>1482</v>
      </c>
      <c r="P3" s="7" t="s">
        <v>48</v>
      </c>
      <c r="Q3" s="7" t="s">
        <v>1482</v>
      </c>
      <c r="R3" s="7" t="s">
        <v>48</v>
      </c>
      <c r="S3" s="7" t="s">
        <v>1482</v>
      </c>
      <c r="T3" s="7" t="s">
        <v>48</v>
      </c>
      <c r="U3" s="7" t="s">
        <v>1482</v>
      </c>
      <c r="V3" s="7" t="s">
        <v>48</v>
      </c>
      <c r="W3" s="7" t="s">
        <v>1482</v>
      </c>
      <c r="X3" s="7" t="s">
        <v>48</v>
      </c>
      <c r="Y3" s="7" t="s">
        <v>1482</v>
      </c>
      <c r="Z3" s="7" t="s">
        <v>48</v>
      </c>
      <c r="AA3" s="7" t="s">
        <v>1482</v>
      </c>
      <c r="AB3" s="7" t="s">
        <v>48</v>
      </c>
      <c r="AC3" s="7" t="s">
        <v>1482</v>
      </c>
      <c r="AD3" s="7" t="s">
        <v>48</v>
      </c>
      <c r="AE3" s="7" t="s">
        <v>1482</v>
      </c>
      <c r="AF3" s="7" t="s">
        <v>48</v>
      </c>
      <c r="AG3" s="7" t="s">
        <v>1482</v>
      </c>
      <c r="AH3" s="7" t="s">
        <v>48</v>
      </c>
      <c r="AI3" s="7" t="s">
        <v>1482</v>
      </c>
      <c r="AJ3" s="7" t="s">
        <v>48</v>
      </c>
      <c r="AK3" s="5"/>
      <c r="AL3"/>
      <c r="AM3"/>
      <c r="AN3"/>
      <c r="AO3"/>
      <c r="AP3"/>
      <c r="AQ3"/>
      <c r="AR3"/>
      <c r="AS3"/>
      <c r="AT3"/>
      <c r="AU3"/>
      <c r="AV3"/>
      <c r="AW3"/>
      <c r="AX3"/>
      <c r="AY3"/>
      <c r="AZ3"/>
      <c r="BA3"/>
      <c r="BB3"/>
    </row>
    <row r="4" spans="2:72">
      <c r="B4" s="14" t="s">
        <v>194</v>
      </c>
      <c r="C4" s="5">
        <v>2015</v>
      </c>
      <c r="D4" s="5" t="s">
        <v>195</v>
      </c>
      <c r="E4" s="5" t="s">
        <v>200</v>
      </c>
      <c r="F4" s="5"/>
      <c r="G4" s="5" t="s">
        <v>1483</v>
      </c>
      <c r="H4" t="s">
        <v>1484</v>
      </c>
      <c r="I4" s="5" t="s">
        <v>210</v>
      </c>
      <c r="J4" s="5" t="s">
        <v>1485</v>
      </c>
      <c r="K4" s="5" t="s">
        <v>200</v>
      </c>
      <c r="L4" s="5" t="s">
        <v>1486</v>
      </c>
      <c r="M4" s="5" t="s">
        <v>200</v>
      </c>
      <c r="N4" s="5" t="s">
        <v>1487</v>
      </c>
      <c r="O4" s="5" t="s">
        <v>210</v>
      </c>
      <c r="P4" s="5" t="s">
        <v>1488</v>
      </c>
      <c r="Q4" s="5" t="s">
        <v>210</v>
      </c>
      <c r="R4" s="5"/>
      <c r="S4" s="5" t="s">
        <v>200</v>
      </c>
      <c r="T4" s="5"/>
      <c r="U4" s="5" t="s">
        <v>200</v>
      </c>
      <c r="V4" s="5"/>
      <c r="W4" s="5" t="s">
        <v>210</v>
      </c>
      <c r="X4" s="5"/>
      <c r="Y4" s="5" t="s">
        <v>204</v>
      </c>
      <c r="Z4" s="5"/>
      <c r="AA4" s="5" t="s">
        <v>204</v>
      </c>
      <c r="AB4" s="5"/>
      <c r="AC4" s="5" t="s">
        <v>200</v>
      </c>
      <c r="AD4" s="5"/>
      <c r="AE4" s="5" t="s">
        <v>200</v>
      </c>
      <c r="AF4" s="5"/>
      <c r="AG4" s="5" t="s">
        <v>204</v>
      </c>
      <c r="AH4" s="5"/>
      <c r="AI4" s="5" t="s">
        <v>210</v>
      </c>
      <c r="AJ4" s="5"/>
      <c r="AK4" s="5" t="s">
        <v>1489</v>
      </c>
      <c r="AL4" s="21" t="str">
        <f>E4</f>
        <v>yes</v>
      </c>
      <c r="AM4" s="21" t="str">
        <f>G4</f>
        <v>partial</v>
      </c>
      <c r="AN4" s="21" t="str">
        <f>I4</f>
        <v>no</v>
      </c>
      <c r="AO4" s="21" t="str">
        <f>K4</f>
        <v>yes</v>
      </c>
      <c r="AP4" s="21" t="str">
        <f>M4</f>
        <v>yes</v>
      </c>
      <c r="AQ4" s="21" t="str">
        <f>O4</f>
        <v>no</v>
      </c>
      <c r="AR4" s="21" t="str">
        <f>Q4</f>
        <v>no</v>
      </c>
      <c r="AS4" s="21" t="str">
        <f>S4</f>
        <v>yes</v>
      </c>
      <c r="AT4" s="21" t="str">
        <f>U4</f>
        <v>yes</v>
      </c>
      <c r="AU4" s="21" t="str">
        <f>W4</f>
        <v>no</v>
      </c>
      <c r="AV4" s="21" t="str">
        <f>Y4</f>
        <v>n/a</v>
      </c>
      <c r="AW4" s="21" t="str">
        <f>AA4</f>
        <v>n/a</v>
      </c>
      <c r="AX4" s="21" t="str">
        <f>AC4</f>
        <v>yes</v>
      </c>
      <c r="AY4" s="21" t="str">
        <f>AE4</f>
        <v>yes</v>
      </c>
      <c r="AZ4" s="21" t="str">
        <f>AG4</f>
        <v>n/a</v>
      </c>
      <c r="BA4" s="21" t="str">
        <f>AI4</f>
        <v>no</v>
      </c>
      <c r="BB4" s="21" t="s">
        <v>200</v>
      </c>
      <c r="BC4" s="5">
        <f>COUNTIF(AL4:BA4, "Yes")</f>
        <v>7</v>
      </c>
      <c r="BD4" s="5">
        <f>COUNTIF(AL4:BA4, "Partial")</f>
        <v>1</v>
      </c>
      <c r="BE4" s="5">
        <f>COUNTIF(AL4:BA4, "No")</f>
        <v>5</v>
      </c>
      <c r="BF4" s="5">
        <f>SUM(BC4+(BD4/2))</f>
        <v>7.5</v>
      </c>
      <c r="BG4" s="5">
        <f>SUM(BC4:BE4)</f>
        <v>13</v>
      </c>
      <c r="BH4" s="34">
        <f>SUM(BF4/BG4)*100</f>
        <v>57.692307692307686</v>
      </c>
    </row>
    <row r="5" spans="2:72">
      <c r="B5" s="5" t="s">
        <v>231</v>
      </c>
      <c r="C5" s="5">
        <v>2019</v>
      </c>
      <c r="D5" s="5" t="s">
        <v>232</v>
      </c>
      <c r="E5" s="5" t="s">
        <v>203</v>
      </c>
      <c r="F5" s="5" t="s">
        <v>1490</v>
      </c>
      <c r="G5" s="5" t="s">
        <v>203</v>
      </c>
      <c r="H5" s="5" t="s">
        <v>1491</v>
      </c>
      <c r="I5" s="5" t="s">
        <v>203</v>
      </c>
      <c r="J5" s="5" t="s">
        <v>1492</v>
      </c>
      <c r="K5" s="5" t="s">
        <v>200</v>
      </c>
      <c r="L5" s="5" t="s">
        <v>1493</v>
      </c>
      <c r="M5" s="5" t="s">
        <v>203</v>
      </c>
      <c r="N5" s="5" t="s">
        <v>1494</v>
      </c>
      <c r="O5" s="5" t="s">
        <v>203</v>
      </c>
      <c r="P5" s="5" t="s">
        <v>1495</v>
      </c>
      <c r="Q5" s="5" t="s">
        <v>203</v>
      </c>
      <c r="R5" s="5" t="s">
        <v>1496</v>
      </c>
      <c r="S5" s="5" t="s">
        <v>203</v>
      </c>
      <c r="T5" s="5" t="s">
        <v>1497</v>
      </c>
      <c r="U5" s="5" t="s">
        <v>203</v>
      </c>
      <c r="V5" s="5" t="s">
        <v>1498</v>
      </c>
      <c r="W5" s="5" t="s">
        <v>203</v>
      </c>
      <c r="X5" s="5" t="s">
        <v>1499</v>
      </c>
      <c r="Y5" s="5" t="s">
        <v>204</v>
      </c>
      <c r="Z5" s="5" t="s">
        <v>1500</v>
      </c>
      <c r="AA5" s="5" t="s">
        <v>204</v>
      </c>
      <c r="AB5" s="5" t="s">
        <v>1500</v>
      </c>
      <c r="AC5" s="5" t="s">
        <v>203</v>
      </c>
      <c r="AD5" s="5" t="s">
        <v>1501</v>
      </c>
      <c r="AE5" s="5" t="s">
        <v>208</v>
      </c>
      <c r="AF5" s="5" t="s">
        <v>1502</v>
      </c>
      <c r="AG5" s="5" t="s">
        <v>204</v>
      </c>
      <c r="AH5" s="5" t="s">
        <v>1500</v>
      </c>
      <c r="AI5" s="5" t="s">
        <v>203</v>
      </c>
      <c r="AJ5" s="5" t="s">
        <v>1503</v>
      </c>
      <c r="AK5" s="5" t="s">
        <v>1489</v>
      </c>
      <c r="AL5" s="21" t="str">
        <f>E5</f>
        <v>No</v>
      </c>
      <c r="AM5" s="21" t="str">
        <f>G5</f>
        <v>No</v>
      </c>
      <c r="AN5" s="21" t="str">
        <f>I5</f>
        <v>No</v>
      </c>
      <c r="AO5" s="21" t="str">
        <f>K5</f>
        <v>yes</v>
      </c>
      <c r="AP5" s="21" t="str">
        <f>M5</f>
        <v>No</v>
      </c>
      <c r="AQ5" s="21" t="str">
        <f>O5</f>
        <v>No</v>
      </c>
      <c r="AR5" s="21" t="str">
        <f>Q5</f>
        <v>No</v>
      </c>
      <c r="AS5" s="21" t="str">
        <f>S5</f>
        <v>No</v>
      </c>
      <c r="AT5" s="21" t="str">
        <f>U5</f>
        <v>No</v>
      </c>
      <c r="AU5" s="21" t="str">
        <f>W5</f>
        <v>No</v>
      </c>
      <c r="AV5" s="21" t="str">
        <f>Y5</f>
        <v>n/a</v>
      </c>
      <c r="AW5" s="21" t="str">
        <f>AA5</f>
        <v>n/a</v>
      </c>
      <c r="AX5" s="21" t="str">
        <f>AC5</f>
        <v>No</v>
      </c>
      <c r="AY5" s="21" t="str">
        <f>AE5</f>
        <v>Yes</v>
      </c>
      <c r="AZ5" s="21" t="str">
        <f>AG5</f>
        <v>n/a</v>
      </c>
      <c r="BA5" s="21" t="str">
        <f>AI5</f>
        <v>No</v>
      </c>
      <c r="BB5" s="21" t="s">
        <v>210</v>
      </c>
      <c r="BC5" s="5">
        <f>COUNTIF(AL5:BA5, "Yes")</f>
        <v>2</v>
      </c>
      <c r="BD5" s="5">
        <f>COUNTIF(AL5:BA5, "Partial")</f>
        <v>0</v>
      </c>
      <c r="BE5" s="5">
        <f>COUNTIF(AL5:BA5, "No")</f>
        <v>11</v>
      </c>
      <c r="BF5" s="5">
        <f>SUM(BC5+(BD5/2))</f>
        <v>2</v>
      </c>
      <c r="BG5" s="5">
        <f>SUM(BC5:BE5)</f>
        <v>13</v>
      </c>
      <c r="BH5" s="34">
        <f>SUM(BF5/BG5)*100</f>
        <v>15.384615384615385</v>
      </c>
    </row>
    <row r="6" spans="2:72">
      <c r="B6" s="5" t="s">
        <v>264</v>
      </c>
      <c r="C6" s="5">
        <v>2018</v>
      </c>
      <c r="D6" s="5" t="s">
        <v>265</v>
      </c>
      <c r="E6" s="5" t="s">
        <v>200</v>
      </c>
      <c r="F6" s="5" t="s">
        <v>1504</v>
      </c>
      <c r="G6" s="5" t="s">
        <v>203</v>
      </c>
      <c r="H6" s="5"/>
      <c r="I6" s="5" t="s">
        <v>203</v>
      </c>
      <c r="J6" s="5" t="s">
        <v>1505</v>
      </c>
      <c r="K6" s="5" t="s">
        <v>200</v>
      </c>
      <c r="L6" s="5" t="s">
        <v>1493</v>
      </c>
      <c r="M6" s="5" t="s">
        <v>200</v>
      </c>
      <c r="N6" s="5"/>
      <c r="O6" s="5" t="s">
        <v>210</v>
      </c>
      <c r="P6" s="5" t="s">
        <v>209</v>
      </c>
      <c r="Q6" s="5" t="s">
        <v>210</v>
      </c>
      <c r="R6" s="5" t="s">
        <v>1506</v>
      </c>
      <c r="S6" s="5" t="s">
        <v>200</v>
      </c>
      <c r="T6" s="5"/>
      <c r="U6" s="5" t="s">
        <v>210</v>
      </c>
      <c r="V6" s="5" t="s">
        <v>1507</v>
      </c>
      <c r="W6" s="5" t="s">
        <v>210</v>
      </c>
      <c r="X6" s="5" t="s">
        <v>1499</v>
      </c>
      <c r="Y6" s="5" t="s">
        <v>204</v>
      </c>
      <c r="Z6" s="5" t="s">
        <v>1500</v>
      </c>
      <c r="AA6" s="5" t="s">
        <v>204</v>
      </c>
      <c r="AB6" s="5" t="s">
        <v>1500</v>
      </c>
      <c r="AC6" s="5" t="s">
        <v>208</v>
      </c>
      <c r="AD6" s="5" t="s">
        <v>1508</v>
      </c>
      <c r="AE6" s="5" t="s">
        <v>208</v>
      </c>
      <c r="AF6" s="5" t="s">
        <v>1509</v>
      </c>
      <c r="AG6" s="5" t="s">
        <v>204</v>
      </c>
      <c r="AH6" s="5"/>
      <c r="AI6" s="5" t="s">
        <v>210</v>
      </c>
      <c r="AJ6" s="5"/>
      <c r="AK6" s="5" t="s">
        <v>1489</v>
      </c>
      <c r="AL6" s="21" t="str">
        <f>E6</f>
        <v>yes</v>
      </c>
      <c r="AM6" s="21" t="str">
        <f>G6</f>
        <v>No</v>
      </c>
      <c r="AN6" s="21" t="str">
        <f>I6</f>
        <v>No</v>
      </c>
      <c r="AO6" s="21" t="str">
        <f>K6</f>
        <v>yes</v>
      </c>
      <c r="AP6" s="21" t="str">
        <f>M6</f>
        <v>yes</v>
      </c>
      <c r="AQ6" s="21" t="str">
        <f>O6</f>
        <v>no</v>
      </c>
      <c r="AR6" s="21" t="str">
        <f>Q6</f>
        <v>no</v>
      </c>
      <c r="AS6" s="21" t="str">
        <f>S6</f>
        <v>yes</v>
      </c>
      <c r="AT6" s="21" t="str">
        <f>U6</f>
        <v>no</v>
      </c>
      <c r="AU6" s="21" t="str">
        <f>W6</f>
        <v>no</v>
      </c>
      <c r="AV6" s="21" t="str">
        <f>Y6</f>
        <v>n/a</v>
      </c>
      <c r="AW6" s="21" t="str">
        <f>AA6</f>
        <v>n/a</v>
      </c>
      <c r="AX6" s="21" t="str">
        <f>AC6</f>
        <v>Yes</v>
      </c>
      <c r="AY6" s="21" t="str">
        <f>AE6</f>
        <v>Yes</v>
      </c>
      <c r="AZ6" s="21" t="str">
        <f>AG6</f>
        <v>n/a</v>
      </c>
      <c r="BA6" s="21" t="str">
        <f>AI6</f>
        <v>no</v>
      </c>
      <c r="BB6" s="21" t="s">
        <v>210</v>
      </c>
      <c r="BC6" s="5">
        <f>COUNTIF(AL6:BA6, "Yes")</f>
        <v>6</v>
      </c>
      <c r="BD6" s="5">
        <f>COUNTIF(AL6:BA6, "Partial")</f>
        <v>0</v>
      </c>
      <c r="BE6" s="5">
        <f>COUNTIF(AL6:BA6, "No")</f>
        <v>7</v>
      </c>
      <c r="BF6" s="5">
        <f>SUM(BC6+(BD6/2))</f>
        <v>6</v>
      </c>
      <c r="BG6" s="5">
        <f>SUM(BC6:BE6)</f>
        <v>13</v>
      </c>
      <c r="BH6" s="34">
        <f>SUM(BF6/BG6)*100</f>
        <v>46.153846153846153</v>
      </c>
    </row>
    <row r="7" spans="2:72">
      <c r="B7" s="5" t="s">
        <v>264</v>
      </c>
      <c r="C7" s="5">
        <v>2012</v>
      </c>
      <c r="D7" s="5" t="s">
        <v>295</v>
      </c>
      <c r="E7" s="5" t="s">
        <v>210</v>
      </c>
      <c r="F7" s="5" t="s">
        <v>1510</v>
      </c>
      <c r="G7" s="5" t="s">
        <v>210</v>
      </c>
      <c r="H7" s="5"/>
      <c r="I7" s="5" t="s">
        <v>210</v>
      </c>
      <c r="J7" s="5"/>
      <c r="K7" s="5" t="s">
        <v>1483</v>
      </c>
      <c r="L7" s="5"/>
      <c r="M7" s="5" t="s">
        <v>210</v>
      </c>
      <c r="N7" s="5"/>
      <c r="O7" s="5" t="s">
        <v>210</v>
      </c>
      <c r="P7" s="5"/>
      <c r="Q7" s="5" t="s">
        <v>210</v>
      </c>
      <c r="R7" s="5"/>
      <c r="S7" s="5" t="s">
        <v>200</v>
      </c>
      <c r="T7" s="5"/>
      <c r="U7" s="5" t="s">
        <v>210</v>
      </c>
      <c r="V7" s="5"/>
      <c r="W7" s="5" t="s">
        <v>210</v>
      </c>
      <c r="X7" s="5"/>
      <c r="Y7" s="5" t="s">
        <v>204</v>
      </c>
      <c r="Z7" s="5"/>
      <c r="AA7" s="5" t="s">
        <v>204</v>
      </c>
      <c r="AB7" s="5"/>
      <c r="AC7" s="5" t="s">
        <v>210</v>
      </c>
      <c r="AD7" s="5"/>
      <c r="AE7" s="5" t="s">
        <v>200</v>
      </c>
      <c r="AF7" s="5"/>
      <c r="AG7" s="5" t="s">
        <v>204</v>
      </c>
      <c r="AH7" s="5"/>
      <c r="AI7" s="5" t="s">
        <v>200</v>
      </c>
      <c r="AJ7" s="5"/>
      <c r="AK7" s="5" t="s">
        <v>1489</v>
      </c>
      <c r="AL7" s="21" t="str">
        <f>E7</f>
        <v>no</v>
      </c>
      <c r="AM7" s="21" t="str">
        <f>G7</f>
        <v>no</v>
      </c>
      <c r="AN7" s="21" t="str">
        <f>I7</f>
        <v>no</v>
      </c>
      <c r="AO7" s="21" t="str">
        <f>K7</f>
        <v>partial</v>
      </c>
      <c r="AP7" s="21" t="str">
        <f>M7</f>
        <v>no</v>
      </c>
      <c r="AQ7" s="21" t="str">
        <f>O7</f>
        <v>no</v>
      </c>
      <c r="AR7" s="21" t="str">
        <f>Q7</f>
        <v>no</v>
      </c>
      <c r="AS7" s="21" t="str">
        <f>S7</f>
        <v>yes</v>
      </c>
      <c r="AT7" s="21" t="str">
        <f>U7</f>
        <v>no</v>
      </c>
      <c r="AU7" s="21" t="str">
        <f>W7</f>
        <v>no</v>
      </c>
      <c r="AV7" s="21" t="str">
        <f>Y7</f>
        <v>n/a</v>
      </c>
      <c r="AW7" s="21" t="str">
        <f>AA7</f>
        <v>n/a</v>
      </c>
      <c r="AX7" s="21" t="str">
        <f>AC7</f>
        <v>no</v>
      </c>
      <c r="AY7" s="21" t="str">
        <f>AE7</f>
        <v>yes</v>
      </c>
      <c r="AZ7" s="21" t="str">
        <f>AG7</f>
        <v>n/a</v>
      </c>
      <c r="BA7" s="21" t="str">
        <f>AI7</f>
        <v>yes</v>
      </c>
      <c r="BB7" s="21" t="s">
        <v>210</v>
      </c>
      <c r="BC7" s="5">
        <f>COUNTIF(AL7:BA7, "Yes")</f>
        <v>3</v>
      </c>
      <c r="BD7" s="5">
        <f>COUNTIF(AL7:BA7, "Partial")</f>
        <v>1</v>
      </c>
      <c r="BE7" s="5">
        <f>COUNTIF(AL7:BA7, "No")</f>
        <v>9</v>
      </c>
      <c r="BF7" s="5">
        <f>SUM(BC7+(BD7/2))</f>
        <v>3.5</v>
      </c>
      <c r="BG7" s="5">
        <f>SUM(BC7:BE7)</f>
        <v>13</v>
      </c>
      <c r="BH7" s="34">
        <f>SUM(BF7/BG7)*100</f>
        <v>26.923076923076923</v>
      </c>
    </row>
    <row r="8" spans="2:72">
      <c r="B8" s="5" t="s">
        <v>316</v>
      </c>
      <c r="C8" s="5">
        <v>2020</v>
      </c>
      <c r="D8" s="5" t="s">
        <v>317</v>
      </c>
      <c r="E8" s="5" t="s">
        <v>200</v>
      </c>
      <c r="F8" s="5" t="s">
        <v>1511</v>
      </c>
      <c r="G8" s="5" t="s">
        <v>210</v>
      </c>
      <c r="H8" s="5"/>
      <c r="I8" s="5" t="s">
        <v>200</v>
      </c>
      <c r="J8" s="5" t="s">
        <v>1512</v>
      </c>
      <c r="K8" s="5" t="s">
        <v>200</v>
      </c>
      <c r="L8" s="5"/>
      <c r="M8" s="5" t="s">
        <v>200</v>
      </c>
      <c r="N8" s="5"/>
      <c r="O8" s="5" t="s">
        <v>210</v>
      </c>
      <c r="P8" s="5" t="s">
        <v>1513</v>
      </c>
      <c r="Q8" s="5" t="s">
        <v>210</v>
      </c>
      <c r="R8" s="5" t="s">
        <v>1506</v>
      </c>
      <c r="S8" s="5" t="s">
        <v>200</v>
      </c>
      <c r="T8" s="5"/>
      <c r="U8" s="5" t="s">
        <v>200</v>
      </c>
      <c r="V8" s="5"/>
      <c r="W8" s="5" t="s">
        <v>210</v>
      </c>
      <c r="X8" s="5" t="s">
        <v>1499</v>
      </c>
      <c r="Y8" s="5" t="s">
        <v>204</v>
      </c>
      <c r="Z8" s="5" t="s">
        <v>1500</v>
      </c>
      <c r="AA8" s="5" t="s">
        <v>204</v>
      </c>
      <c r="AB8" s="5" t="s">
        <v>1500</v>
      </c>
      <c r="AC8" s="5" t="s">
        <v>200</v>
      </c>
      <c r="AD8" s="5"/>
      <c r="AE8" s="5" t="s">
        <v>210</v>
      </c>
      <c r="AF8" s="5"/>
      <c r="AG8" s="5" t="s">
        <v>204</v>
      </c>
      <c r="AH8" s="5"/>
      <c r="AI8" s="5" t="s">
        <v>200</v>
      </c>
      <c r="AJ8" s="5"/>
      <c r="AK8" s="5" t="s">
        <v>1489</v>
      </c>
      <c r="AL8" s="21" t="str">
        <f>E8</f>
        <v>yes</v>
      </c>
      <c r="AM8" s="21" t="str">
        <f>G8</f>
        <v>no</v>
      </c>
      <c r="AN8" s="21" t="str">
        <f>I8</f>
        <v>yes</v>
      </c>
      <c r="AO8" s="21" t="str">
        <f>K8</f>
        <v>yes</v>
      </c>
      <c r="AP8" s="21" t="str">
        <f>M8</f>
        <v>yes</v>
      </c>
      <c r="AQ8" s="21" t="str">
        <f>O8</f>
        <v>no</v>
      </c>
      <c r="AR8" s="21" t="str">
        <f>Q8</f>
        <v>no</v>
      </c>
      <c r="AS8" s="21" t="str">
        <f>S8</f>
        <v>yes</v>
      </c>
      <c r="AT8" s="21" t="str">
        <f>U8</f>
        <v>yes</v>
      </c>
      <c r="AU8" s="21" t="str">
        <f>W8</f>
        <v>no</v>
      </c>
      <c r="AV8" s="21" t="str">
        <f>Y8</f>
        <v>n/a</v>
      </c>
      <c r="AW8" s="21" t="str">
        <f>AA8</f>
        <v>n/a</v>
      </c>
      <c r="AX8" s="21" t="str">
        <f>AC8</f>
        <v>yes</v>
      </c>
      <c r="AY8" s="21" t="str">
        <f>AE8</f>
        <v>no</v>
      </c>
      <c r="AZ8" s="21" t="str">
        <f>AG8</f>
        <v>n/a</v>
      </c>
      <c r="BA8" s="21" t="str">
        <f>AI8</f>
        <v>yes</v>
      </c>
      <c r="BB8" s="21" t="s">
        <v>200</v>
      </c>
      <c r="BC8" s="5">
        <f>COUNTIF(AL8:BA8, "Yes")</f>
        <v>8</v>
      </c>
      <c r="BD8" s="5">
        <f>COUNTIF(AL8:BA8, "Partial")</f>
        <v>0</v>
      </c>
      <c r="BE8" s="5">
        <f>COUNTIF(AL8:BA8, "No")</f>
        <v>5</v>
      </c>
      <c r="BF8" s="5">
        <f>SUM(BC8+(BD8/2))</f>
        <v>8</v>
      </c>
      <c r="BG8" s="5">
        <f>SUM(BC8:BE8)</f>
        <v>13</v>
      </c>
      <c r="BH8" s="34">
        <f>SUM(BF8/BG8)*100</f>
        <v>61.53846153846154</v>
      </c>
    </row>
    <row r="9" spans="2:72">
      <c r="B9" s="5" t="s">
        <v>339</v>
      </c>
      <c r="C9" s="5">
        <v>2018</v>
      </c>
      <c r="D9" s="5" t="s">
        <v>340</v>
      </c>
      <c r="E9" s="5" t="s">
        <v>200</v>
      </c>
      <c r="F9" s="5" t="s">
        <v>1514</v>
      </c>
      <c r="G9" s="5" t="s">
        <v>210</v>
      </c>
      <c r="H9" s="5" t="s">
        <v>1515</v>
      </c>
      <c r="I9" s="5" t="s">
        <v>200</v>
      </c>
      <c r="J9" s="5"/>
      <c r="K9" s="5" t="s">
        <v>210</v>
      </c>
      <c r="L9" s="5" t="s">
        <v>1516</v>
      </c>
      <c r="M9" s="5" t="s">
        <v>200</v>
      </c>
      <c r="N9" s="5"/>
      <c r="O9" s="5" t="s">
        <v>210</v>
      </c>
      <c r="P9" s="5"/>
      <c r="Q9" s="5" t="s">
        <v>210</v>
      </c>
      <c r="R9" s="5" t="s">
        <v>1506</v>
      </c>
      <c r="S9" s="5" t="s">
        <v>1483</v>
      </c>
      <c r="T9" s="5" t="s">
        <v>1517</v>
      </c>
      <c r="U9" s="5" t="s">
        <v>210</v>
      </c>
      <c r="V9" s="5"/>
      <c r="W9" s="5" t="s">
        <v>210</v>
      </c>
      <c r="X9" s="5" t="s">
        <v>1499</v>
      </c>
      <c r="Y9" s="5" t="s">
        <v>204</v>
      </c>
      <c r="Z9" s="5" t="s">
        <v>1500</v>
      </c>
      <c r="AA9" s="5" t="s">
        <v>204</v>
      </c>
      <c r="AB9" s="5" t="s">
        <v>1500</v>
      </c>
      <c r="AC9" s="5" t="s">
        <v>210</v>
      </c>
      <c r="AD9" s="5"/>
      <c r="AE9" s="5" t="s">
        <v>200</v>
      </c>
      <c r="AF9" s="5"/>
      <c r="AG9" s="5" t="s">
        <v>204</v>
      </c>
      <c r="AH9" s="5"/>
      <c r="AI9" s="5" t="s">
        <v>200</v>
      </c>
      <c r="AJ9" s="5"/>
      <c r="AK9" s="5" t="s">
        <v>1489</v>
      </c>
      <c r="AL9" s="21" t="str">
        <f>E9</f>
        <v>yes</v>
      </c>
      <c r="AM9" s="21" t="str">
        <f>G9</f>
        <v>no</v>
      </c>
      <c r="AN9" s="21" t="str">
        <f>I9</f>
        <v>yes</v>
      </c>
      <c r="AO9" s="21" t="str">
        <f>K9</f>
        <v>no</v>
      </c>
      <c r="AP9" s="21" t="str">
        <f>M9</f>
        <v>yes</v>
      </c>
      <c r="AQ9" s="21" t="str">
        <f>O9</f>
        <v>no</v>
      </c>
      <c r="AR9" s="21" t="str">
        <f>Q9</f>
        <v>no</v>
      </c>
      <c r="AS9" s="21" t="str">
        <f>S9</f>
        <v>partial</v>
      </c>
      <c r="AT9" s="21" t="str">
        <f>U9</f>
        <v>no</v>
      </c>
      <c r="AU9" s="21" t="str">
        <f>W9</f>
        <v>no</v>
      </c>
      <c r="AV9" s="21" t="str">
        <f>Y9</f>
        <v>n/a</v>
      </c>
      <c r="AW9" s="21" t="str">
        <f>AA9</f>
        <v>n/a</v>
      </c>
      <c r="AX9" s="21" t="str">
        <f>AC9</f>
        <v>no</v>
      </c>
      <c r="AY9" s="21" t="str">
        <f>AE9</f>
        <v>yes</v>
      </c>
      <c r="AZ9" s="21" t="str">
        <f>AG9</f>
        <v>n/a</v>
      </c>
      <c r="BA9" s="21" t="str">
        <f>AI9</f>
        <v>yes</v>
      </c>
      <c r="BB9" s="21" t="s">
        <v>210</v>
      </c>
      <c r="BC9" s="5">
        <f>COUNTIF(AL9:BA9, "Yes")</f>
        <v>5</v>
      </c>
      <c r="BD9" s="5">
        <f>COUNTIF(AL9:BA9, "Partial")</f>
        <v>1</v>
      </c>
      <c r="BE9" s="5">
        <f>COUNTIF(AL9:BA9, "No")</f>
        <v>7</v>
      </c>
      <c r="BF9" s="5">
        <f>SUM(BC9+(BD9/2))</f>
        <v>5.5</v>
      </c>
      <c r="BG9" s="5">
        <f>SUM(BC9:BE9)</f>
        <v>13</v>
      </c>
      <c r="BH9" s="34">
        <f>SUM(BF9/BG9)*100</f>
        <v>42.307692307692307</v>
      </c>
    </row>
    <row r="10" spans="2:72">
      <c r="B10" s="5" t="s">
        <v>359</v>
      </c>
      <c r="C10" s="5">
        <v>2017</v>
      </c>
      <c r="D10" s="5" t="s">
        <v>360</v>
      </c>
      <c r="E10" s="5" t="s">
        <v>210</v>
      </c>
      <c r="F10" s="5" t="s">
        <v>1518</v>
      </c>
      <c r="G10" s="5" t="s">
        <v>1483</v>
      </c>
      <c r="H10" s="5" t="s">
        <v>1519</v>
      </c>
      <c r="I10" s="5" t="s">
        <v>210</v>
      </c>
      <c r="J10" s="5"/>
      <c r="K10" s="5" t="s">
        <v>200</v>
      </c>
      <c r="L10" s="5"/>
      <c r="M10" s="5" t="s">
        <v>210</v>
      </c>
      <c r="N10" s="5"/>
      <c r="O10" s="5" t="s">
        <v>210</v>
      </c>
      <c r="P10" s="5"/>
      <c r="Q10" s="5" t="s">
        <v>210</v>
      </c>
      <c r="R10" s="5" t="s">
        <v>1506</v>
      </c>
      <c r="S10" s="5" t="s">
        <v>200</v>
      </c>
      <c r="T10" s="5"/>
      <c r="U10" s="5" t="s">
        <v>200</v>
      </c>
      <c r="V10" s="5" t="s">
        <v>1520</v>
      </c>
      <c r="W10" s="5" t="s">
        <v>210</v>
      </c>
      <c r="X10" s="5" t="s">
        <v>1499</v>
      </c>
      <c r="Y10" s="5" t="s">
        <v>204</v>
      </c>
      <c r="Z10" s="5" t="s">
        <v>1500</v>
      </c>
      <c r="AA10" s="5" t="s">
        <v>204</v>
      </c>
      <c r="AB10" s="5" t="s">
        <v>1500</v>
      </c>
      <c r="AC10" s="5" t="s">
        <v>200</v>
      </c>
      <c r="AD10" s="5"/>
      <c r="AE10" s="5" t="s">
        <v>200</v>
      </c>
      <c r="AF10" s="5"/>
      <c r="AG10" s="5" t="s">
        <v>204</v>
      </c>
      <c r="AH10" s="5"/>
      <c r="AI10" s="5" t="s">
        <v>210</v>
      </c>
      <c r="AJ10" s="5"/>
      <c r="AK10" s="5" t="s">
        <v>1489</v>
      </c>
      <c r="AL10" s="21" t="str">
        <f>E10</f>
        <v>no</v>
      </c>
      <c r="AM10" s="21" t="str">
        <f>G10</f>
        <v>partial</v>
      </c>
      <c r="AN10" s="21" t="str">
        <f>I10</f>
        <v>no</v>
      </c>
      <c r="AO10" s="21" t="str">
        <f>K10</f>
        <v>yes</v>
      </c>
      <c r="AP10" s="21" t="str">
        <f>M10</f>
        <v>no</v>
      </c>
      <c r="AQ10" s="21" t="str">
        <f>O10</f>
        <v>no</v>
      </c>
      <c r="AR10" s="21" t="str">
        <f>Q10</f>
        <v>no</v>
      </c>
      <c r="AS10" s="21" t="str">
        <f>S10</f>
        <v>yes</v>
      </c>
      <c r="AT10" s="21" t="str">
        <f>U10</f>
        <v>yes</v>
      </c>
      <c r="AU10" s="21" t="str">
        <f>W10</f>
        <v>no</v>
      </c>
      <c r="AV10" s="21" t="str">
        <f>Y10</f>
        <v>n/a</v>
      </c>
      <c r="AW10" s="21" t="str">
        <f>AA10</f>
        <v>n/a</v>
      </c>
      <c r="AX10" s="21" t="str">
        <f>AC10</f>
        <v>yes</v>
      </c>
      <c r="AY10" s="21" t="str">
        <f>AE10</f>
        <v>yes</v>
      </c>
      <c r="AZ10" s="21" t="str">
        <f>AG10</f>
        <v>n/a</v>
      </c>
      <c r="BA10" s="21" t="str">
        <f>AI10</f>
        <v>no</v>
      </c>
      <c r="BB10" s="21" t="s">
        <v>210</v>
      </c>
      <c r="BC10" s="5">
        <f>COUNTIF(AL10:BA10, "Yes")</f>
        <v>5</v>
      </c>
      <c r="BD10" s="5">
        <f>COUNTIF(AL10:BA10, "Partial")</f>
        <v>1</v>
      </c>
      <c r="BE10" s="5">
        <f>COUNTIF(AL10:BA10, "No")</f>
        <v>7</v>
      </c>
      <c r="BF10" s="5">
        <f>SUM(BC10+(BD10/2))</f>
        <v>5.5</v>
      </c>
      <c r="BG10" s="5">
        <f>SUM(BC10:BE10)</f>
        <v>13</v>
      </c>
      <c r="BH10" s="34">
        <f>SUM(BF10/BG10)*100</f>
        <v>42.307692307692307</v>
      </c>
    </row>
    <row r="11" spans="2:72">
      <c r="B11" s="5" t="s">
        <v>379</v>
      </c>
      <c r="C11" s="5">
        <v>2011</v>
      </c>
      <c r="D11" s="5" t="s">
        <v>380</v>
      </c>
      <c r="E11" s="5" t="s">
        <v>200</v>
      </c>
      <c r="F11" s="5"/>
      <c r="G11" s="5" t="s">
        <v>1483</v>
      </c>
      <c r="H11" s="5" t="s">
        <v>1521</v>
      </c>
      <c r="I11" s="5" t="s">
        <v>200</v>
      </c>
      <c r="J11" s="5"/>
      <c r="K11" s="5" t="s">
        <v>1483</v>
      </c>
      <c r="L11" s="5" t="s">
        <v>1522</v>
      </c>
      <c r="M11" s="5" t="s">
        <v>200</v>
      </c>
      <c r="N11" s="5"/>
      <c r="O11" s="5" t="s">
        <v>200</v>
      </c>
      <c r="P11" s="5"/>
      <c r="Q11" s="5" t="s">
        <v>200</v>
      </c>
      <c r="R11" s="5"/>
      <c r="S11" s="5" t="s">
        <v>200</v>
      </c>
      <c r="T11" s="5"/>
      <c r="U11" s="5" t="s">
        <v>200</v>
      </c>
      <c r="V11" s="5"/>
      <c r="W11" s="5" t="s">
        <v>210</v>
      </c>
      <c r="X11" s="5" t="s">
        <v>1499</v>
      </c>
      <c r="Y11" s="5" t="s">
        <v>204</v>
      </c>
      <c r="Z11" s="5" t="s">
        <v>1500</v>
      </c>
      <c r="AA11" s="5" t="s">
        <v>204</v>
      </c>
      <c r="AB11" s="5" t="s">
        <v>1500</v>
      </c>
      <c r="AC11" s="5" t="s">
        <v>200</v>
      </c>
      <c r="AD11" s="5"/>
      <c r="AE11" s="5" t="s">
        <v>200</v>
      </c>
      <c r="AF11" s="5"/>
      <c r="AG11" s="5" t="s">
        <v>204</v>
      </c>
      <c r="AH11" s="5"/>
      <c r="AI11" s="5" t="s">
        <v>200</v>
      </c>
      <c r="AJ11" s="5"/>
      <c r="AK11" s="5" t="s">
        <v>1489</v>
      </c>
      <c r="AL11" s="21" t="str">
        <f>E11</f>
        <v>yes</v>
      </c>
      <c r="AM11" s="21" t="str">
        <f>G11</f>
        <v>partial</v>
      </c>
      <c r="AN11" s="21" t="str">
        <f>I11</f>
        <v>yes</v>
      </c>
      <c r="AO11" s="21" t="str">
        <f>K11</f>
        <v>partial</v>
      </c>
      <c r="AP11" s="21" t="str">
        <f>M11</f>
        <v>yes</v>
      </c>
      <c r="AQ11" s="21" t="str">
        <f>O11</f>
        <v>yes</v>
      </c>
      <c r="AR11" s="21" t="str">
        <f>Q11</f>
        <v>yes</v>
      </c>
      <c r="AS11" s="21" t="str">
        <f>S11</f>
        <v>yes</v>
      </c>
      <c r="AT11" s="21" t="str">
        <f>U11</f>
        <v>yes</v>
      </c>
      <c r="AU11" s="21" t="str">
        <f>W11</f>
        <v>no</v>
      </c>
      <c r="AV11" s="21" t="str">
        <f>Y11</f>
        <v>n/a</v>
      </c>
      <c r="AW11" s="21" t="str">
        <f>AA11</f>
        <v>n/a</v>
      </c>
      <c r="AX11" s="21" t="str">
        <f>AC11</f>
        <v>yes</v>
      </c>
      <c r="AY11" s="21" t="str">
        <f>AE11</f>
        <v>yes</v>
      </c>
      <c r="AZ11" s="21" t="str">
        <f>AG11</f>
        <v>n/a</v>
      </c>
      <c r="BA11" s="21" t="str">
        <f>AI11</f>
        <v>yes</v>
      </c>
      <c r="BB11" s="21" t="s">
        <v>210</v>
      </c>
      <c r="BC11" s="5">
        <f>COUNTIF(AL11:BA11, "Yes")</f>
        <v>10</v>
      </c>
      <c r="BD11" s="5">
        <f>COUNTIF(AL11:BA11, "Partial")</f>
        <v>2</v>
      </c>
      <c r="BE11" s="5">
        <f>COUNTIF(AL11:BA11, "No")</f>
        <v>1</v>
      </c>
      <c r="BF11" s="5">
        <f>SUM(BC11+(BD11/2))</f>
        <v>11</v>
      </c>
      <c r="BG11" s="5">
        <f>SUM(BC11:BE11)</f>
        <v>13</v>
      </c>
      <c r="BH11" s="34">
        <f>SUM(BF11/BG11)*100</f>
        <v>84.615384615384613</v>
      </c>
    </row>
    <row r="12" spans="2:72">
      <c r="B12" s="50" t="s">
        <v>402</v>
      </c>
      <c r="C12" s="50">
        <v>2010</v>
      </c>
      <c r="D12" s="5" t="s">
        <v>403</v>
      </c>
      <c r="E12" s="5" t="s">
        <v>203</v>
      </c>
      <c r="F12" s="5" t="s">
        <v>472</v>
      </c>
      <c r="G12" s="5" t="s">
        <v>210</v>
      </c>
      <c r="H12" s="5"/>
      <c r="I12" s="5" t="s">
        <v>203</v>
      </c>
      <c r="J12" s="5"/>
      <c r="K12" s="5" t="s">
        <v>1483</v>
      </c>
      <c r="L12" s="5"/>
      <c r="M12" s="5" t="s">
        <v>210</v>
      </c>
      <c r="N12" s="5"/>
      <c r="O12" s="5" t="s">
        <v>210</v>
      </c>
      <c r="P12" s="5"/>
      <c r="Q12" s="5" t="s">
        <v>210</v>
      </c>
      <c r="R12" s="5"/>
      <c r="S12" s="5" t="s">
        <v>210</v>
      </c>
      <c r="T12" s="5" t="s">
        <v>1523</v>
      </c>
      <c r="U12" s="5" t="s">
        <v>210</v>
      </c>
      <c r="V12" s="5" t="s">
        <v>1524</v>
      </c>
      <c r="W12" s="5" t="s">
        <v>210</v>
      </c>
      <c r="X12" s="5"/>
      <c r="Y12" s="5" t="s">
        <v>204</v>
      </c>
      <c r="Z12" s="5"/>
      <c r="AA12" s="5" t="s">
        <v>204</v>
      </c>
      <c r="AB12" s="5"/>
      <c r="AC12" s="5" t="s">
        <v>210</v>
      </c>
      <c r="AD12" s="5"/>
      <c r="AE12" s="5" t="s">
        <v>210</v>
      </c>
      <c r="AF12" s="5"/>
      <c r="AG12" s="5" t="s">
        <v>204</v>
      </c>
      <c r="AH12" s="5"/>
      <c r="AI12" s="5" t="s">
        <v>200</v>
      </c>
      <c r="AJ12" s="5"/>
      <c r="AK12" s="5" t="s">
        <v>1489</v>
      </c>
      <c r="AL12" s="21" t="str">
        <f>E12</f>
        <v>No</v>
      </c>
      <c r="AM12" s="21" t="str">
        <f>G12</f>
        <v>no</v>
      </c>
      <c r="AN12" s="21" t="str">
        <f>I12</f>
        <v>No</v>
      </c>
      <c r="AO12" s="21" t="str">
        <f>K12</f>
        <v>partial</v>
      </c>
      <c r="AP12" s="21" t="str">
        <f>M12</f>
        <v>no</v>
      </c>
      <c r="AQ12" s="21" t="str">
        <f>O12</f>
        <v>no</v>
      </c>
      <c r="AR12" s="21" t="str">
        <f>Q12</f>
        <v>no</v>
      </c>
      <c r="AS12" s="21" t="str">
        <f>S12</f>
        <v>no</v>
      </c>
      <c r="AT12" s="21" t="str">
        <f>U12</f>
        <v>no</v>
      </c>
      <c r="AU12" s="21" t="str">
        <f>W12</f>
        <v>no</v>
      </c>
      <c r="AV12" s="21" t="str">
        <f>Y12</f>
        <v>n/a</v>
      </c>
      <c r="AW12" s="21" t="str">
        <f>AA12</f>
        <v>n/a</v>
      </c>
      <c r="AX12" s="21" t="str">
        <f>AC12</f>
        <v>no</v>
      </c>
      <c r="AY12" s="21" t="str">
        <f>AE12</f>
        <v>no</v>
      </c>
      <c r="AZ12" s="21" t="str">
        <f>AG12</f>
        <v>n/a</v>
      </c>
      <c r="BA12" s="21" t="str">
        <f>AI12</f>
        <v>yes</v>
      </c>
      <c r="BB12" s="21" t="s">
        <v>210</v>
      </c>
      <c r="BC12" s="5">
        <f>COUNTIF(AL12:BA12, "Yes")</f>
        <v>1</v>
      </c>
      <c r="BD12" s="5">
        <f>COUNTIF(AL12:BA12, "Partial")</f>
        <v>1</v>
      </c>
      <c r="BE12" s="5">
        <f>COUNTIF(AL12:BA12, "No")</f>
        <v>11</v>
      </c>
      <c r="BF12" s="5">
        <f>SUM(BC12+(BD12/2))</f>
        <v>1.5</v>
      </c>
      <c r="BG12" s="5">
        <f>SUM(BC12:BE12)</f>
        <v>13</v>
      </c>
      <c r="BH12" s="34">
        <f>SUM(BF12/BG12)*100</f>
        <v>11.538461538461538</v>
      </c>
    </row>
    <row r="13" spans="2:72">
      <c r="B13" s="5" t="s">
        <v>421</v>
      </c>
      <c r="C13" s="5">
        <v>2020</v>
      </c>
      <c r="D13" s="5" t="s">
        <v>422</v>
      </c>
      <c r="E13" s="5" t="s">
        <v>210</v>
      </c>
      <c r="F13" s="5"/>
      <c r="G13" s="5" t="s">
        <v>1483</v>
      </c>
      <c r="H13" s="5"/>
      <c r="I13" s="5" t="s">
        <v>200</v>
      </c>
      <c r="J13" s="5"/>
      <c r="K13" s="5" t="s">
        <v>1483</v>
      </c>
      <c r="L13" s="5"/>
      <c r="M13" s="5" t="s">
        <v>210</v>
      </c>
      <c r="N13" s="5"/>
      <c r="O13" s="5" t="s">
        <v>210</v>
      </c>
      <c r="P13" s="5"/>
      <c r="Q13" s="5" t="s">
        <v>203</v>
      </c>
      <c r="R13" s="5" t="s">
        <v>1506</v>
      </c>
      <c r="S13" s="5" t="s">
        <v>203</v>
      </c>
      <c r="T13" s="5" t="s">
        <v>1525</v>
      </c>
      <c r="U13" s="5" t="s">
        <v>200</v>
      </c>
      <c r="V13" s="5"/>
      <c r="W13" s="5" t="s">
        <v>210</v>
      </c>
      <c r="X13" s="5" t="s">
        <v>1499</v>
      </c>
      <c r="Y13" s="5" t="s">
        <v>204</v>
      </c>
      <c r="Z13" s="5" t="s">
        <v>1500</v>
      </c>
      <c r="AA13" s="5" t="s">
        <v>204</v>
      </c>
      <c r="AB13" s="5" t="s">
        <v>1500</v>
      </c>
      <c r="AC13" s="5" t="s">
        <v>200</v>
      </c>
      <c r="AD13" s="5"/>
      <c r="AE13" s="5" t="s">
        <v>210</v>
      </c>
      <c r="AF13" s="5"/>
      <c r="AG13" s="5" t="s">
        <v>204</v>
      </c>
      <c r="AH13" s="5"/>
      <c r="AI13" s="5" t="s">
        <v>200</v>
      </c>
      <c r="AJ13" s="5" t="s">
        <v>1526</v>
      </c>
      <c r="AK13" s="5" t="s">
        <v>1489</v>
      </c>
      <c r="AL13" s="21" t="str">
        <f>E13</f>
        <v>no</v>
      </c>
      <c r="AM13" s="21" t="str">
        <f>G13</f>
        <v>partial</v>
      </c>
      <c r="AN13" s="21" t="str">
        <f>I13</f>
        <v>yes</v>
      </c>
      <c r="AO13" s="21" t="str">
        <f>K13</f>
        <v>partial</v>
      </c>
      <c r="AP13" s="21" t="str">
        <f>M13</f>
        <v>no</v>
      </c>
      <c r="AQ13" s="21" t="str">
        <f>O13</f>
        <v>no</v>
      </c>
      <c r="AR13" s="21" t="str">
        <f>Q13</f>
        <v>No</v>
      </c>
      <c r="AS13" s="21" t="str">
        <f>S13</f>
        <v>No</v>
      </c>
      <c r="AT13" s="21" t="str">
        <f>U13</f>
        <v>yes</v>
      </c>
      <c r="AU13" s="21" t="str">
        <f>W13</f>
        <v>no</v>
      </c>
      <c r="AV13" s="21" t="str">
        <f>Y13</f>
        <v>n/a</v>
      </c>
      <c r="AW13" s="21" t="str">
        <f>AA13</f>
        <v>n/a</v>
      </c>
      <c r="AX13" s="21" t="str">
        <f>AC13</f>
        <v>yes</v>
      </c>
      <c r="AY13" s="21" t="str">
        <f>AE13</f>
        <v>no</v>
      </c>
      <c r="AZ13" s="21" t="str">
        <f>AG13</f>
        <v>n/a</v>
      </c>
      <c r="BA13" s="21" t="str">
        <f>AI13</f>
        <v>yes</v>
      </c>
      <c r="BB13" s="21" t="s">
        <v>200</v>
      </c>
      <c r="BC13" s="5">
        <f>COUNTIF(AL13:BA13, "Yes")</f>
        <v>4</v>
      </c>
      <c r="BD13" s="5">
        <f>COUNTIF(AL13:BA13, "Partial")</f>
        <v>2</v>
      </c>
      <c r="BE13" s="5">
        <f>COUNTIF(AL13:BA13, "No")</f>
        <v>7</v>
      </c>
      <c r="BF13" s="5">
        <f>SUM(BC13+(BD13/2))</f>
        <v>5</v>
      </c>
      <c r="BG13" s="5">
        <f>SUM(BC13:BE13)</f>
        <v>13</v>
      </c>
      <c r="BH13" s="34">
        <f>SUM(BF13/BG13)*100</f>
        <v>38.461538461538467</v>
      </c>
    </row>
    <row r="14" spans="2:72">
      <c r="B14" s="5" t="s">
        <v>444</v>
      </c>
      <c r="C14" s="5">
        <v>2020</v>
      </c>
      <c r="D14" s="5" t="s">
        <v>445</v>
      </c>
      <c r="E14" s="5" t="s">
        <v>200</v>
      </c>
      <c r="F14" s="5"/>
      <c r="G14" s="5" t="s">
        <v>200</v>
      </c>
      <c r="H14" s="5"/>
      <c r="I14" s="5" t="s">
        <v>200</v>
      </c>
      <c r="J14" s="5"/>
      <c r="K14" s="5" t="s">
        <v>200</v>
      </c>
      <c r="L14" s="5"/>
      <c r="M14" s="5" t="s">
        <v>200</v>
      </c>
      <c r="N14" s="5"/>
      <c r="O14" s="5" t="s">
        <v>200</v>
      </c>
      <c r="P14" s="5"/>
      <c r="Q14" s="5" t="s">
        <v>210</v>
      </c>
      <c r="R14" s="5" t="s">
        <v>1506</v>
      </c>
      <c r="S14" s="5" t="s">
        <v>1483</v>
      </c>
      <c r="T14" s="5"/>
      <c r="U14" s="5" t="s">
        <v>200</v>
      </c>
      <c r="V14" s="5"/>
      <c r="W14" s="5" t="s">
        <v>210</v>
      </c>
      <c r="X14" s="5" t="s">
        <v>1499</v>
      </c>
      <c r="Y14" s="5" t="s">
        <v>200</v>
      </c>
      <c r="Z14" s="5" t="s">
        <v>1500</v>
      </c>
      <c r="AA14" s="5" t="s">
        <v>200</v>
      </c>
      <c r="AB14" s="5" t="s">
        <v>1500</v>
      </c>
      <c r="AC14" s="5" t="s">
        <v>200</v>
      </c>
      <c r="AD14" s="5"/>
      <c r="AE14" s="5" t="s">
        <v>200</v>
      </c>
      <c r="AF14" s="5"/>
      <c r="AG14" s="5" t="s">
        <v>200</v>
      </c>
      <c r="AH14" s="5"/>
      <c r="AI14" s="5" t="s">
        <v>200</v>
      </c>
      <c r="AJ14" s="5" t="s">
        <v>1526</v>
      </c>
      <c r="AK14" s="5" t="s">
        <v>1489</v>
      </c>
      <c r="AL14" s="21" t="str">
        <f>E14</f>
        <v>yes</v>
      </c>
      <c r="AM14" s="21" t="str">
        <f>G14</f>
        <v>yes</v>
      </c>
      <c r="AN14" s="21" t="str">
        <f>I14</f>
        <v>yes</v>
      </c>
      <c r="AO14" s="21" t="str">
        <f>K14</f>
        <v>yes</v>
      </c>
      <c r="AP14" s="21" t="str">
        <f>M14</f>
        <v>yes</v>
      </c>
      <c r="AQ14" s="21" t="str">
        <f>O14</f>
        <v>yes</v>
      </c>
      <c r="AR14" s="21" t="str">
        <f>Q14</f>
        <v>no</v>
      </c>
      <c r="AS14" s="21" t="str">
        <f>S14</f>
        <v>partial</v>
      </c>
      <c r="AT14" s="21" t="str">
        <f>U14</f>
        <v>yes</v>
      </c>
      <c r="AU14" s="21" t="str">
        <f>W14</f>
        <v>no</v>
      </c>
      <c r="AV14" s="21" t="str">
        <f>Y14</f>
        <v>yes</v>
      </c>
      <c r="AW14" s="21" t="str">
        <f>AA14</f>
        <v>yes</v>
      </c>
      <c r="AX14" s="21" t="str">
        <f>AC14</f>
        <v>yes</v>
      </c>
      <c r="AY14" s="21" t="str">
        <f>AE14</f>
        <v>yes</v>
      </c>
      <c r="AZ14" s="21" t="str">
        <f>AG14</f>
        <v>yes</v>
      </c>
      <c r="BA14" s="21" t="str">
        <f>AI14</f>
        <v>yes</v>
      </c>
      <c r="BB14" s="21" t="s">
        <v>200</v>
      </c>
      <c r="BC14" s="5">
        <f>COUNTIF(AL14:BA14, "Yes")</f>
        <v>13</v>
      </c>
      <c r="BD14" s="5">
        <f>COUNTIF(AL14:BA14, "Partial")</f>
        <v>1</v>
      </c>
      <c r="BE14" s="5">
        <f>COUNTIF(AL14:BA14, "No")</f>
        <v>2</v>
      </c>
      <c r="BF14" s="5">
        <f>SUM(BC14+(BD14/2))</f>
        <v>13.5</v>
      </c>
      <c r="BG14" s="5">
        <f>SUM(BC14:BE14)</f>
        <v>16</v>
      </c>
      <c r="BH14" s="34">
        <f>SUM(BF14/BG14)*100</f>
        <v>84.375</v>
      </c>
    </row>
    <row r="15" spans="2:72">
      <c r="B15" s="5" t="s">
        <v>466</v>
      </c>
      <c r="C15" s="5">
        <v>2020</v>
      </c>
      <c r="D15" s="5" t="s">
        <v>467</v>
      </c>
      <c r="E15" s="5" t="s">
        <v>210</v>
      </c>
      <c r="F15" s="5" t="s">
        <v>472</v>
      </c>
      <c r="G15" s="5" t="s">
        <v>210</v>
      </c>
      <c r="H15" s="5" t="s">
        <v>1527</v>
      </c>
      <c r="I15" s="5" t="s">
        <v>210</v>
      </c>
      <c r="J15" s="5" t="s">
        <v>1528</v>
      </c>
      <c r="K15" s="5" t="s">
        <v>1483</v>
      </c>
      <c r="L15" s="5"/>
      <c r="M15" s="5" t="s">
        <v>200</v>
      </c>
      <c r="N15" s="5"/>
      <c r="O15" s="5" t="s">
        <v>210</v>
      </c>
      <c r="P15" s="5"/>
      <c r="Q15" s="5" t="s">
        <v>210</v>
      </c>
      <c r="R15" s="5" t="s">
        <v>1506</v>
      </c>
      <c r="S15" s="5" t="s">
        <v>210</v>
      </c>
      <c r="T15" s="5" t="s">
        <v>1529</v>
      </c>
      <c r="U15" s="5" t="s">
        <v>210</v>
      </c>
      <c r="V15" s="5"/>
      <c r="W15" s="5" t="s">
        <v>210</v>
      </c>
      <c r="X15" s="5"/>
      <c r="Y15" s="5" t="s">
        <v>204</v>
      </c>
      <c r="Z15" s="5"/>
      <c r="AA15" s="5" t="s">
        <v>204</v>
      </c>
      <c r="AB15" s="5"/>
      <c r="AC15" s="5" t="s">
        <v>210</v>
      </c>
      <c r="AD15" s="5"/>
      <c r="AE15" s="5" t="s">
        <v>210</v>
      </c>
      <c r="AF15" s="5"/>
      <c r="AG15" s="5" t="s">
        <v>204</v>
      </c>
      <c r="AH15" s="5"/>
      <c r="AI15" s="5" t="s">
        <v>200</v>
      </c>
      <c r="AJ15" s="5"/>
      <c r="AK15" s="5" t="s">
        <v>1489</v>
      </c>
      <c r="AL15" s="21" t="str">
        <f>E15</f>
        <v>no</v>
      </c>
      <c r="AM15" s="21" t="str">
        <f>G15</f>
        <v>no</v>
      </c>
      <c r="AN15" s="21" t="str">
        <f>I15</f>
        <v>no</v>
      </c>
      <c r="AO15" s="21" t="str">
        <f>K15</f>
        <v>partial</v>
      </c>
      <c r="AP15" s="21" t="str">
        <f>M15</f>
        <v>yes</v>
      </c>
      <c r="AQ15" s="21" t="str">
        <f>O15</f>
        <v>no</v>
      </c>
      <c r="AR15" s="21" t="str">
        <f>Q15</f>
        <v>no</v>
      </c>
      <c r="AS15" s="21" t="str">
        <f>S15</f>
        <v>no</v>
      </c>
      <c r="AT15" s="21" t="str">
        <f>U15</f>
        <v>no</v>
      </c>
      <c r="AU15" s="21" t="str">
        <f>W15</f>
        <v>no</v>
      </c>
      <c r="AV15" s="21" t="str">
        <f>Y15</f>
        <v>n/a</v>
      </c>
      <c r="AW15" s="21" t="str">
        <f>AA15</f>
        <v>n/a</v>
      </c>
      <c r="AX15" s="21" t="str">
        <f>AC15</f>
        <v>no</v>
      </c>
      <c r="AY15" s="21" t="str">
        <f>AE15</f>
        <v>no</v>
      </c>
      <c r="AZ15" s="21" t="str">
        <f>AG15</f>
        <v>n/a</v>
      </c>
      <c r="BA15" s="21" t="str">
        <f>AI15</f>
        <v>yes</v>
      </c>
      <c r="BB15" s="21" t="s">
        <v>210</v>
      </c>
      <c r="BC15" s="5">
        <f>COUNTIF(AL15:BA15, "Yes")</f>
        <v>2</v>
      </c>
      <c r="BD15" s="5">
        <f>COUNTIF(AL15:BA15, "Partial")</f>
        <v>1</v>
      </c>
      <c r="BE15" s="5">
        <f>COUNTIF(AL15:BA15, "No")</f>
        <v>10</v>
      </c>
      <c r="BF15" s="5">
        <f>SUM(BC15+(BD15/2))</f>
        <v>2.5</v>
      </c>
      <c r="BG15" s="5">
        <f>SUM(BC15:BE15)</f>
        <v>13</v>
      </c>
      <c r="BH15" s="34">
        <f>SUM(BF15/BG15)*100</f>
        <v>19.230769230769234</v>
      </c>
    </row>
    <row r="16" spans="2:72">
      <c r="B16" s="5" t="s">
        <v>486</v>
      </c>
      <c r="C16" s="5">
        <v>2020</v>
      </c>
      <c r="D16" s="5" t="s">
        <v>487</v>
      </c>
      <c r="E16" s="5" t="s">
        <v>200</v>
      </c>
      <c r="F16" s="5" t="s">
        <v>540</v>
      </c>
      <c r="G16" s="5" t="s">
        <v>210</v>
      </c>
      <c r="H16" s="5"/>
      <c r="I16" s="5" t="s">
        <v>200</v>
      </c>
      <c r="J16" s="5"/>
      <c r="K16" s="5" t="s">
        <v>200</v>
      </c>
      <c r="L16" s="5"/>
      <c r="M16" s="5" t="s">
        <v>200</v>
      </c>
      <c r="N16" s="5"/>
      <c r="O16" s="5" t="s">
        <v>210</v>
      </c>
      <c r="P16" s="5"/>
      <c r="Q16" s="5" t="s">
        <v>210</v>
      </c>
      <c r="R16" s="5"/>
      <c r="S16" s="5" t="s">
        <v>1483</v>
      </c>
      <c r="T16" s="5"/>
      <c r="U16" s="5" t="s">
        <v>210</v>
      </c>
      <c r="V16" s="5"/>
      <c r="W16" s="5" t="s">
        <v>210</v>
      </c>
      <c r="X16" s="5"/>
      <c r="Y16" s="5" t="s">
        <v>204</v>
      </c>
      <c r="Z16" s="5"/>
      <c r="AA16" s="5" t="s">
        <v>204</v>
      </c>
      <c r="AB16" s="5"/>
      <c r="AC16" s="5" t="s">
        <v>210</v>
      </c>
      <c r="AD16" s="5"/>
      <c r="AE16" s="5" t="s">
        <v>210</v>
      </c>
      <c r="AF16" s="5"/>
      <c r="AG16" s="5" t="s">
        <v>204</v>
      </c>
      <c r="AH16" s="5"/>
      <c r="AI16" s="5" t="s">
        <v>200</v>
      </c>
      <c r="AJ16" s="5"/>
      <c r="AK16" s="5" t="s">
        <v>1489</v>
      </c>
      <c r="AL16" s="21" t="str">
        <f>E16</f>
        <v>yes</v>
      </c>
      <c r="AM16" s="21" t="str">
        <f>G16</f>
        <v>no</v>
      </c>
      <c r="AN16" s="21" t="str">
        <f>I16</f>
        <v>yes</v>
      </c>
      <c r="AO16" s="21" t="str">
        <f>K16</f>
        <v>yes</v>
      </c>
      <c r="AP16" s="21" t="str">
        <f>M16</f>
        <v>yes</v>
      </c>
      <c r="AQ16" s="21" t="str">
        <f>O16</f>
        <v>no</v>
      </c>
      <c r="AR16" s="21" t="str">
        <f>Q16</f>
        <v>no</v>
      </c>
      <c r="AS16" s="21" t="str">
        <f>S16</f>
        <v>partial</v>
      </c>
      <c r="AT16" s="21" t="str">
        <f>U16</f>
        <v>no</v>
      </c>
      <c r="AU16" s="21" t="str">
        <f>W16</f>
        <v>no</v>
      </c>
      <c r="AV16" s="21" t="str">
        <f>Y16</f>
        <v>n/a</v>
      </c>
      <c r="AW16" s="21" t="str">
        <f>AA16</f>
        <v>n/a</v>
      </c>
      <c r="AX16" s="21" t="str">
        <f>AC16</f>
        <v>no</v>
      </c>
      <c r="AY16" s="21" t="str">
        <f>AE16</f>
        <v>no</v>
      </c>
      <c r="AZ16" s="21" t="str">
        <f>AG16</f>
        <v>n/a</v>
      </c>
      <c r="BA16" s="21" t="str">
        <f>AI16</f>
        <v>yes</v>
      </c>
      <c r="BB16" s="21" t="s">
        <v>210</v>
      </c>
      <c r="BC16" s="5">
        <f>COUNTIF(AL16:BA16, "Yes")</f>
        <v>5</v>
      </c>
      <c r="BD16" s="5">
        <f>COUNTIF(AL16:BA16, "Partial")</f>
        <v>1</v>
      </c>
      <c r="BE16" s="5">
        <f>COUNTIF(AL16:BA16, "No")</f>
        <v>7</v>
      </c>
      <c r="BF16" s="5">
        <f>SUM(BC16+(BD16/2))</f>
        <v>5.5</v>
      </c>
      <c r="BG16" s="5">
        <f>SUM(BC16:BE16)</f>
        <v>13</v>
      </c>
      <c r="BH16" s="34">
        <f>SUM(BF16/BG16)*100</f>
        <v>42.307692307692307</v>
      </c>
    </row>
    <row r="17" spans="2:60">
      <c r="B17" s="5" t="s">
        <v>509</v>
      </c>
      <c r="C17" s="5">
        <v>2015</v>
      </c>
      <c r="D17" s="5" t="s">
        <v>510</v>
      </c>
      <c r="E17" s="5" t="s">
        <v>210</v>
      </c>
      <c r="F17" s="5" t="s">
        <v>472</v>
      </c>
      <c r="G17" s="5" t="s">
        <v>210</v>
      </c>
      <c r="H17" s="5"/>
      <c r="I17" s="5" t="s">
        <v>210</v>
      </c>
      <c r="J17" s="5"/>
      <c r="K17" s="5" t="s">
        <v>1483</v>
      </c>
      <c r="L17" s="5"/>
      <c r="M17" s="5" t="s">
        <v>200</v>
      </c>
      <c r="N17" s="5"/>
      <c r="O17" s="5" t="s">
        <v>210</v>
      </c>
      <c r="P17" s="5"/>
      <c r="Q17" s="5" t="s">
        <v>210</v>
      </c>
      <c r="R17" s="5"/>
      <c r="S17" s="5" t="s">
        <v>200</v>
      </c>
      <c r="T17" s="5"/>
      <c r="U17" s="5" t="s">
        <v>200</v>
      </c>
      <c r="V17" s="5"/>
      <c r="W17" s="5" t="s">
        <v>210</v>
      </c>
      <c r="X17" s="5"/>
      <c r="Y17" s="5" t="s">
        <v>200</v>
      </c>
      <c r="Z17" s="5"/>
      <c r="AA17" s="5" t="s">
        <v>210</v>
      </c>
      <c r="AB17" s="5"/>
      <c r="AC17" s="5" t="s">
        <v>210</v>
      </c>
      <c r="AD17" s="5"/>
      <c r="AE17" s="5" t="s">
        <v>200</v>
      </c>
      <c r="AF17" s="5"/>
      <c r="AG17" s="5" t="s">
        <v>210</v>
      </c>
      <c r="AH17" s="5"/>
      <c r="AI17" s="5" t="s">
        <v>200</v>
      </c>
      <c r="AJ17" s="5"/>
      <c r="AK17" s="5" t="s">
        <v>1489</v>
      </c>
      <c r="AL17" s="21" t="str">
        <f>E17</f>
        <v>no</v>
      </c>
      <c r="AM17" s="21" t="str">
        <f>G17</f>
        <v>no</v>
      </c>
      <c r="AN17" s="21" t="str">
        <f>I17</f>
        <v>no</v>
      </c>
      <c r="AO17" s="21" t="str">
        <f>K17</f>
        <v>partial</v>
      </c>
      <c r="AP17" s="21" t="str">
        <f>M17</f>
        <v>yes</v>
      </c>
      <c r="AQ17" s="21" t="str">
        <f>O17</f>
        <v>no</v>
      </c>
      <c r="AR17" s="21" t="str">
        <f>Q17</f>
        <v>no</v>
      </c>
      <c r="AS17" s="21" t="str">
        <f>S17</f>
        <v>yes</v>
      </c>
      <c r="AT17" s="21" t="str">
        <f>U17</f>
        <v>yes</v>
      </c>
      <c r="AU17" s="21" t="str">
        <f>W17</f>
        <v>no</v>
      </c>
      <c r="AV17" s="21" t="str">
        <f>Y17</f>
        <v>yes</v>
      </c>
      <c r="AW17" s="21" t="str">
        <f>AA17</f>
        <v>no</v>
      </c>
      <c r="AX17" s="21" t="str">
        <f>AC17</f>
        <v>no</v>
      </c>
      <c r="AY17" s="21" t="str">
        <f>AE17</f>
        <v>yes</v>
      </c>
      <c r="AZ17" s="21" t="str">
        <f>AG17</f>
        <v>no</v>
      </c>
      <c r="BA17" s="21" t="str">
        <f>AI17</f>
        <v>yes</v>
      </c>
      <c r="BB17" s="21" t="s">
        <v>210</v>
      </c>
      <c r="BC17" s="5">
        <f>COUNTIF(AL17:BA17, "Yes")</f>
        <v>6</v>
      </c>
      <c r="BD17" s="5">
        <f>COUNTIF(AL17:BA17, "Partial")</f>
        <v>1</v>
      </c>
      <c r="BE17" s="5">
        <f>COUNTIF(AL17:BA17, "No")</f>
        <v>9</v>
      </c>
      <c r="BF17" s="5">
        <f>SUM(BC17+(BD17/2))</f>
        <v>6.5</v>
      </c>
      <c r="BG17" s="5">
        <f>SUM(BC17:BE17)</f>
        <v>16</v>
      </c>
      <c r="BH17" s="34">
        <f>SUM(BF17/BG17)*100</f>
        <v>40.625</v>
      </c>
    </row>
    <row r="18" spans="2:60">
      <c r="B18" s="5" t="s">
        <v>509</v>
      </c>
      <c r="C18" s="5">
        <v>2016</v>
      </c>
      <c r="D18" s="5" t="s">
        <v>534</v>
      </c>
      <c r="E18" s="5" t="s">
        <v>200</v>
      </c>
      <c r="F18" s="5" t="s">
        <v>540</v>
      </c>
      <c r="G18" s="5" t="s">
        <v>210</v>
      </c>
      <c r="H18" s="5"/>
      <c r="I18" s="5" t="s">
        <v>200</v>
      </c>
      <c r="J18" s="5"/>
      <c r="K18" s="5" t="s">
        <v>1483</v>
      </c>
      <c r="L18" s="5"/>
      <c r="M18" s="5" t="s">
        <v>200</v>
      </c>
      <c r="N18" s="5"/>
      <c r="O18" s="5" t="s">
        <v>210</v>
      </c>
      <c r="P18" s="5"/>
      <c r="Q18" s="5" t="s">
        <v>210</v>
      </c>
      <c r="R18" s="5"/>
      <c r="S18" s="5" t="s">
        <v>210</v>
      </c>
      <c r="T18" s="5" t="s">
        <v>1530</v>
      </c>
      <c r="U18" s="5" t="s">
        <v>210</v>
      </c>
      <c r="V18" s="5"/>
      <c r="W18" s="5" t="s">
        <v>210</v>
      </c>
      <c r="X18" s="5"/>
      <c r="Y18" s="5" t="s">
        <v>200</v>
      </c>
      <c r="Z18" s="5"/>
      <c r="AA18" s="5" t="s">
        <v>210</v>
      </c>
      <c r="AB18" s="5"/>
      <c r="AC18" s="5" t="s">
        <v>210</v>
      </c>
      <c r="AD18" s="5"/>
      <c r="AE18" s="5" t="s">
        <v>210</v>
      </c>
      <c r="AF18" s="5"/>
      <c r="AG18" s="5" t="s">
        <v>210</v>
      </c>
      <c r="AH18" s="5"/>
      <c r="AI18" s="5" t="s">
        <v>200</v>
      </c>
      <c r="AJ18" s="5"/>
      <c r="AK18" s="5" t="s">
        <v>1489</v>
      </c>
      <c r="AL18" s="21" t="str">
        <f>E18</f>
        <v>yes</v>
      </c>
      <c r="AM18" s="21" t="str">
        <f>G18</f>
        <v>no</v>
      </c>
      <c r="AN18" s="21" t="str">
        <f>I18</f>
        <v>yes</v>
      </c>
      <c r="AO18" s="21" t="str">
        <f>K18</f>
        <v>partial</v>
      </c>
      <c r="AP18" s="21" t="str">
        <f>M18</f>
        <v>yes</v>
      </c>
      <c r="AQ18" s="21" t="str">
        <f>O18</f>
        <v>no</v>
      </c>
      <c r="AR18" s="21" t="str">
        <f>Q18</f>
        <v>no</v>
      </c>
      <c r="AS18" s="21" t="str">
        <f>S18</f>
        <v>no</v>
      </c>
      <c r="AT18" s="21" t="str">
        <f>U18</f>
        <v>no</v>
      </c>
      <c r="AU18" s="21" t="str">
        <f>W18</f>
        <v>no</v>
      </c>
      <c r="AV18" s="21" t="str">
        <f>Y18</f>
        <v>yes</v>
      </c>
      <c r="AW18" s="21" t="str">
        <f>AA18</f>
        <v>no</v>
      </c>
      <c r="AX18" s="21" t="str">
        <f>AC18</f>
        <v>no</v>
      </c>
      <c r="AY18" s="21" t="str">
        <f>AE18</f>
        <v>no</v>
      </c>
      <c r="AZ18" s="21" t="str">
        <f>AG18</f>
        <v>no</v>
      </c>
      <c r="BA18" s="21" t="str">
        <f>AI18</f>
        <v>yes</v>
      </c>
      <c r="BB18" s="21" t="s">
        <v>210</v>
      </c>
      <c r="BC18" s="5">
        <f>COUNTIF(AL18:BA18, "Yes")</f>
        <v>5</v>
      </c>
      <c r="BD18" s="5">
        <f>COUNTIF(AL18:BA18, "Partial")</f>
        <v>1</v>
      </c>
      <c r="BE18" s="5">
        <f>COUNTIF(AL18:BA18, "No")</f>
        <v>10</v>
      </c>
      <c r="BF18" s="5">
        <f>SUM(BC18+(BD18/2))</f>
        <v>5.5</v>
      </c>
      <c r="BG18" s="5">
        <f>SUM(BC18:BE18)</f>
        <v>16</v>
      </c>
      <c r="BH18" s="34">
        <f>SUM(BF18/BG18)*100</f>
        <v>34.375</v>
      </c>
    </row>
    <row r="19" spans="2:60">
      <c r="B19" s="5" t="s">
        <v>551</v>
      </c>
      <c r="C19" s="5">
        <v>2017</v>
      </c>
      <c r="D19" s="5" t="s">
        <v>552</v>
      </c>
      <c r="E19" s="5" t="s">
        <v>200</v>
      </c>
      <c r="F19" s="5"/>
      <c r="G19" s="5" t="s">
        <v>200</v>
      </c>
      <c r="H19" s="5"/>
      <c r="I19" s="5" t="s">
        <v>200</v>
      </c>
      <c r="J19" s="5"/>
      <c r="K19" s="5" t="s">
        <v>200</v>
      </c>
      <c r="L19" s="5"/>
      <c r="M19" s="5" t="s">
        <v>200</v>
      </c>
      <c r="N19" s="5"/>
      <c r="O19" s="5" t="s">
        <v>200</v>
      </c>
      <c r="P19" s="5"/>
      <c r="Q19" s="5" t="s">
        <v>200</v>
      </c>
      <c r="R19" s="5"/>
      <c r="S19" s="5" t="s">
        <v>200</v>
      </c>
      <c r="T19" s="5"/>
      <c r="U19" s="5" t="s">
        <v>200</v>
      </c>
      <c r="V19" s="5"/>
      <c r="W19" s="5" t="s">
        <v>210</v>
      </c>
      <c r="X19" s="5"/>
      <c r="Y19" s="5" t="s">
        <v>200</v>
      </c>
      <c r="Z19" s="5"/>
      <c r="AA19" s="5" t="s">
        <v>200</v>
      </c>
      <c r="AB19" s="5"/>
      <c r="AC19" s="5" t="s">
        <v>200</v>
      </c>
      <c r="AD19" s="5"/>
      <c r="AE19" s="5" t="s">
        <v>200</v>
      </c>
      <c r="AF19" s="5"/>
      <c r="AG19" s="5" t="s">
        <v>200</v>
      </c>
      <c r="AH19" s="5"/>
      <c r="AI19" s="5" t="s">
        <v>200</v>
      </c>
      <c r="AJ19" s="5"/>
      <c r="AK19" s="5" t="s">
        <v>1489</v>
      </c>
      <c r="AL19" s="21" t="str">
        <f>E19</f>
        <v>yes</v>
      </c>
      <c r="AM19" s="21" t="str">
        <f>G19</f>
        <v>yes</v>
      </c>
      <c r="AN19" s="21" t="str">
        <f>I19</f>
        <v>yes</v>
      </c>
      <c r="AO19" s="21" t="str">
        <f>K19</f>
        <v>yes</v>
      </c>
      <c r="AP19" s="21" t="str">
        <f>M19</f>
        <v>yes</v>
      </c>
      <c r="AQ19" s="21" t="str">
        <f>O19</f>
        <v>yes</v>
      </c>
      <c r="AR19" s="21" t="str">
        <f>Q19</f>
        <v>yes</v>
      </c>
      <c r="AS19" s="21" t="str">
        <f>S19</f>
        <v>yes</v>
      </c>
      <c r="AT19" s="21" t="str">
        <f>U19</f>
        <v>yes</v>
      </c>
      <c r="AU19" s="21" t="str">
        <f>W19</f>
        <v>no</v>
      </c>
      <c r="AV19" s="21" t="str">
        <f>Y19</f>
        <v>yes</v>
      </c>
      <c r="AW19" s="21" t="str">
        <f>AA19</f>
        <v>yes</v>
      </c>
      <c r="AX19" s="21" t="str">
        <f>AC19</f>
        <v>yes</v>
      </c>
      <c r="AY19" s="21" t="str">
        <f>AE19</f>
        <v>yes</v>
      </c>
      <c r="AZ19" s="21" t="str">
        <f>AG19</f>
        <v>yes</v>
      </c>
      <c r="BA19" s="21" t="str">
        <f>AI19</f>
        <v>yes</v>
      </c>
      <c r="BB19" s="21" t="s">
        <v>200</v>
      </c>
      <c r="BC19" s="5">
        <f>COUNTIF(AL19:BA19, "Yes")</f>
        <v>15</v>
      </c>
      <c r="BD19" s="5">
        <f>COUNTIF(AL19:BA19, "Partial")</f>
        <v>0</v>
      </c>
      <c r="BE19" s="5">
        <f>COUNTIF(AL19:BA19, "No")</f>
        <v>1</v>
      </c>
      <c r="BF19" s="5">
        <f>SUM(BC19+(BD19/2))</f>
        <v>15</v>
      </c>
      <c r="BG19" s="5">
        <f>SUM(BC19:BE19)</f>
        <v>16</v>
      </c>
      <c r="BH19" s="34">
        <f>SUM(BF19/BG19)*100</f>
        <v>93.75</v>
      </c>
    </row>
    <row r="20" spans="2:60">
      <c r="B20" s="5" t="s">
        <v>581</v>
      </c>
      <c r="C20" s="5">
        <v>2018</v>
      </c>
      <c r="D20" s="5" t="s">
        <v>582</v>
      </c>
      <c r="E20" s="5" t="s">
        <v>200</v>
      </c>
      <c r="F20" s="5" t="s">
        <v>1511</v>
      </c>
      <c r="G20" s="5" t="s">
        <v>210</v>
      </c>
      <c r="H20" s="5"/>
      <c r="I20" s="5" t="s">
        <v>200</v>
      </c>
      <c r="J20" s="5"/>
      <c r="K20" s="5" t="s">
        <v>1483</v>
      </c>
      <c r="L20" s="5"/>
      <c r="M20" s="5" t="s">
        <v>210</v>
      </c>
      <c r="N20" s="5"/>
      <c r="O20" s="5" t="s">
        <v>210</v>
      </c>
      <c r="P20" s="5"/>
      <c r="Q20" s="5" t="s">
        <v>210</v>
      </c>
      <c r="R20" s="5"/>
      <c r="S20" s="5" t="s">
        <v>200</v>
      </c>
      <c r="T20" s="5"/>
      <c r="U20" s="5" t="s">
        <v>210</v>
      </c>
      <c r="V20" s="5"/>
      <c r="W20" s="5" t="s">
        <v>210</v>
      </c>
      <c r="X20" s="5"/>
      <c r="Y20" s="5" t="s">
        <v>200</v>
      </c>
      <c r="Z20" s="5"/>
      <c r="AA20" s="5" t="s">
        <v>210</v>
      </c>
      <c r="AB20" s="5"/>
      <c r="AC20" s="5" t="s">
        <v>210</v>
      </c>
      <c r="AD20" s="5"/>
      <c r="AE20" s="5" t="s">
        <v>200</v>
      </c>
      <c r="AF20" s="5"/>
      <c r="AG20" s="5" t="s">
        <v>200</v>
      </c>
      <c r="AH20" s="5"/>
      <c r="AI20" s="5" t="s">
        <v>200</v>
      </c>
      <c r="AJ20" s="5"/>
      <c r="AK20" s="5" t="s">
        <v>1489</v>
      </c>
      <c r="AL20" s="21" t="str">
        <f>E20</f>
        <v>yes</v>
      </c>
      <c r="AM20" s="21" t="str">
        <f>G20</f>
        <v>no</v>
      </c>
      <c r="AN20" s="21" t="str">
        <f>I20</f>
        <v>yes</v>
      </c>
      <c r="AO20" s="21" t="str">
        <f>K20</f>
        <v>partial</v>
      </c>
      <c r="AP20" s="21" t="str">
        <f>M20</f>
        <v>no</v>
      </c>
      <c r="AQ20" s="21" t="str">
        <f>O20</f>
        <v>no</v>
      </c>
      <c r="AR20" s="21" t="str">
        <f>Q20</f>
        <v>no</v>
      </c>
      <c r="AS20" s="21" t="str">
        <f>S20</f>
        <v>yes</v>
      </c>
      <c r="AT20" s="21" t="str">
        <f>U20</f>
        <v>no</v>
      </c>
      <c r="AU20" s="21" t="str">
        <f>W20</f>
        <v>no</v>
      </c>
      <c r="AV20" s="21" t="str">
        <f>Y20</f>
        <v>yes</v>
      </c>
      <c r="AW20" s="21" t="str">
        <f>AA20</f>
        <v>no</v>
      </c>
      <c r="AX20" s="21" t="str">
        <f>AC20</f>
        <v>no</v>
      </c>
      <c r="AY20" s="21" t="str">
        <f>AE20</f>
        <v>yes</v>
      </c>
      <c r="AZ20" s="21" t="str">
        <f>AG20</f>
        <v>yes</v>
      </c>
      <c r="BA20" s="21" t="str">
        <f>AI20</f>
        <v>yes</v>
      </c>
      <c r="BB20" s="21" t="s">
        <v>210</v>
      </c>
      <c r="BC20" s="5">
        <f>COUNTIF(AL20:BA20, "Yes")</f>
        <v>7</v>
      </c>
      <c r="BD20" s="5">
        <f>COUNTIF(AL20:BA20, "Partial")</f>
        <v>1</v>
      </c>
      <c r="BE20" s="5">
        <f>COUNTIF(AL20:BA20, "No")</f>
        <v>8</v>
      </c>
      <c r="BF20" s="5">
        <f>SUM(BC20+(BD20/2))</f>
        <v>7.5</v>
      </c>
      <c r="BG20" s="5">
        <f>SUM(BC20:BE20)</f>
        <v>16</v>
      </c>
      <c r="BH20" s="34">
        <f>SUM(BF20/BG20)*100</f>
        <v>46.875</v>
      </c>
    </row>
    <row r="21" spans="2:60">
      <c r="B21" s="5" t="s">
        <v>598</v>
      </c>
      <c r="C21" s="5">
        <v>2017</v>
      </c>
      <c r="D21" s="5" t="s">
        <v>599</v>
      </c>
      <c r="E21" s="5" t="s">
        <v>200</v>
      </c>
      <c r="F21" s="5"/>
      <c r="G21" s="5" t="s">
        <v>210</v>
      </c>
      <c r="H21" s="5"/>
      <c r="I21" s="5" t="s">
        <v>210</v>
      </c>
      <c r="J21" s="5"/>
      <c r="K21" s="5" t="s">
        <v>1483</v>
      </c>
      <c r="L21" s="5"/>
      <c r="M21" s="5" t="s">
        <v>200</v>
      </c>
      <c r="N21" s="5"/>
      <c r="O21" s="5" t="s">
        <v>210</v>
      </c>
      <c r="P21" s="5"/>
      <c r="Q21" s="5" t="s">
        <v>210</v>
      </c>
      <c r="R21" s="5"/>
      <c r="S21" s="5" t="s">
        <v>200</v>
      </c>
      <c r="T21" s="5"/>
      <c r="U21" s="5" t="s">
        <v>210</v>
      </c>
      <c r="V21" s="5" t="s">
        <v>1531</v>
      </c>
      <c r="W21" s="5" t="s">
        <v>210</v>
      </c>
      <c r="X21" s="5"/>
      <c r="Y21" s="5" t="s">
        <v>204</v>
      </c>
      <c r="Z21" s="5"/>
      <c r="AA21" s="5" t="s">
        <v>210</v>
      </c>
      <c r="AB21" s="5"/>
      <c r="AC21" s="5" t="s">
        <v>200</v>
      </c>
      <c r="AD21" s="5"/>
      <c r="AE21" s="5" t="s">
        <v>200</v>
      </c>
      <c r="AF21" s="5"/>
      <c r="AG21" s="5" t="s">
        <v>204</v>
      </c>
      <c r="AH21" s="5"/>
      <c r="AI21" s="5" t="s">
        <v>200</v>
      </c>
      <c r="AJ21" s="5"/>
      <c r="AK21" s="5"/>
      <c r="AL21" s="21" t="str">
        <f>E21</f>
        <v>yes</v>
      </c>
      <c r="AM21" s="21" t="str">
        <f>G21</f>
        <v>no</v>
      </c>
      <c r="AN21" s="21" t="str">
        <f>I21</f>
        <v>no</v>
      </c>
      <c r="AO21" s="21" t="str">
        <f>K21</f>
        <v>partial</v>
      </c>
      <c r="AP21" s="21" t="str">
        <f>M21</f>
        <v>yes</v>
      </c>
      <c r="AQ21" s="21" t="str">
        <f>O21</f>
        <v>no</v>
      </c>
      <c r="AR21" s="21" t="str">
        <f>Q21</f>
        <v>no</v>
      </c>
      <c r="AS21" s="21" t="str">
        <f>S21</f>
        <v>yes</v>
      </c>
      <c r="AT21" s="21" t="str">
        <f>U21</f>
        <v>no</v>
      </c>
      <c r="AU21" s="21" t="str">
        <f>W21</f>
        <v>no</v>
      </c>
      <c r="AV21" s="21" t="str">
        <f>Y21</f>
        <v>n/a</v>
      </c>
      <c r="AW21" s="21" t="str">
        <f>AA21</f>
        <v>no</v>
      </c>
      <c r="AX21" s="21" t="str">
        <f>AC21</f>
        <v>yes</v>
      </c>
      <c r="AY21" s="21" t="str">
        <f>AE21</f>
        <v>yes</v>
      </c>
      <c r="AZ21" s="21" t="str">
        <f>AG21</f>
        <v>n/a</v>
      </c>
      <c r="BA21" s="21" t="str">
        <f>AI21</f>
        <v>yes</v>
      </c>
      <c r="BB21" s="21" t="s">
        <v>210</v>
      </c>
      <c r="BC21" s="5">
        <f>COUNTIF(AL21:BA21, "Yes")</f>
        <v>6</v>
      </c>
      <c r="BD21" s="5">
        <f>COUNTIF(AL21:BA21, "Partial")</f>
        <v>1</v>
      </c>
      <c r="BE21" s="5">
        <f>COUNTIF(AL21:BA21, "No")</f>
        <v>7</v>
      </c>
      <c r="BF21" s="5">
        <f>SUM(BC21+(BD21/2))</f>
        <v>6.5</v>
      </c>
      <c r="BG21" s="5">
        <f>SUM(BC21:BE21)</f>
        <v>14</v>
      </c>
      <c r="BH21" s="34">
        <f>SUM(BF21/BG21)*100</f>
        <v>46.428571428571431</v>
      </c>
    </row>
    <row r="22" spans="2:60">
      <c r="B22" s="5" t="s">
        <v>618</v>
      </c>
      <c r="C22" s="5">
        <v>2019</v>
      </c>
      <c r="D22" s="5" t="s">
        <v>619</v>
      </c>
      <c r="E22" s="5" t="s">
        <v>210</v>
      </c>
      <c r="F22" s="5" t="s">
        <v>624</v>
      </c>
      <c r="G22" s="5" t="s">
        <v>210</v>
      </c>
      <c r="H22" s="5"/>
      <c r="I22" s="5" t="s">
        <v>210</v>
      </c>
      <c r="J22" s="5"/>
      <c r="K22" s="5" t="s">
        <v>210</v>
      </c>
      <c r="L22" s="5"/>
      <c r="M22" s="5" t="s">
        <v>210</v>
      </c>
      <c r="N22" s="5"/>
      <c r="O22" s="5" t="s">
        <v>210</v>
      </c>
      <c r="P22" s="5"/>
      <c r="Q22" s="5" t="s">
        <v>210</v>
      </c>
      <c r="R22" s="5"/>
      <c r="S22" s="5" t="s">
        <v>210</v>
      </c>
      <c r="T22" s="5" t="s">
        <v>1532</v>
      </c>
      <c r="U22" s="5" t="s">
        <v>210</v>
      </c>
      <c r="V22" s="5"/>
      <c r="W22" s="5" t="s">
        <v>210</v>
      </c>
      <c r="X22" s="5"/>
      <c r="Y22" s="5" t="s">
        <v>204</v>
      </c>
      <c r="Z22" s="5"/>
      <c r="AA22" s="5" t="s">
        <v>204</v>
      </c>
      <c r="AB22" s="5"/>
      <c r="AC22" s="5" t="s">
        <v>1483</v>
      </c>
      <c r="AD22" s="5"/>
      <c r="AE22" s="5" t="s">
        <v>210</v>
      </c>
      <c r="AF22" s="5"/>
      <c r="AG22" s="5" t="s">
        <v>204</v>
      </c>
      <c r="AH22" s="5"/>
      <c r="AI22" s="5" t="s">
        <v>200</v>
      </c>
      <c r="AJ22" s="5"/>
      <c r="AK22" s="5" t="s">
        <v>1489</v>
      </c>
      <c r="AL22" s="21" t="str">
        <f>E22</f>
        <v>no</v>
      </c>
      <c r="AM22" s="21" t="str">
        <f>G22</f>
        <v>no</v>
      </c>
      <c r="AN22" s="21" t="str">
        <f>I22</f>
        <v>no</v>
      </c>
      <c r="AO22" s="21" t="str">
        <f>K22</f>
        <v>no</v>
      </c>
      <c r="AP22" s="21" t="str">
        <f>M22</f>
        <v>no</v>
      </c>
      <c r="AQ22" s="21" t="str">
        <f>O22</f>
        <v>no</v>
      </c>
      <c r="AR22" s="21" t="str">
        <f>Q22</f>
        <v>no</v>
      </c>
      <c r="AS22" s="21" t="str">
        <f>S22</f>
        <v>no</v>
      </c>
      <c r="AT22" s="21" t="str">
        <f>U22</f>
        <v>no</v>
      </c>
      <c r="AU22" s="21" t="str">
        <f>W22</f>
        <v>no</v>
      </c>
      <c r="AV22" s="21" t="str">
        <f>Y22</f>
        <v>n/a</v>
      </c>
      <c r="AW22" s="21" t="str">
        <f>AA22</f>
        <v>n/a</v>
      </c>
      <c r="AX22" s="21" t="str">
        <f>AC22</f>
        <v>partial</v>
      </c>
      <c r="AY22" s="21" t="str">
        <f>AE22</f>
        <v>no</v>
      </c>
      <c r="AZ22" s="21" t="str">
        <f>AG22</f>
        <v>n/a</v>
      </c>
      <c r="BA22" s="21" t="str">
        <f>AI22</f>
        <v>yes</v>
      </c>
      <c r="BB22" s="21" t="s">
        <v>210</v>
      </c>
      <c r="BC22" s="5">
        <f>COUNTIF(AL22:BA22, "Yes")</f>
        <v>1</v>
      </c>
      <c r="BD22" s="5">
        <f>COUNTIF(AL22:BA22, "Partial")</f>
        <v>1</v>
      </c>
      <c r="BE22" s="5">
        <f>COUNTIF(AL22:BA22, "No")</f>
        <v>11</v>
      </c>
      <c r="BF22" s="5">
        <f>SUM(BC22+(BD22/2))</f>
        <v>1.5</v>
      </c>
      <c r="BG22" s="5">
        <f>SUM(BC22:BE22)</f>
        <v>13</v>
      </c>
      <c r="BH22" s="34">
        <f>SUM(BF22/BG22)*100</f>
        <v>11.538461538461538</v>
      </c>
    </row>
    <row r="23" spans="2:60">
      <c r="B23" s="5" t="s">
        <v>635</v>
      </c>
      <c r="C23" s="5">
        <v>2016</v>
      </c>
      <c r="D23" s="5" t="s">
        <v>636</v>
      </c>
      <c r="E23" s="5" t="s">
        <v>210</v>
      </c>
      <c r="F23" s="5" t="s">
        <v>472</v>
      </c>
      <c r="G23" s="5" t="s">
        <v>210</v>
      </c>
      <c r="H23" s="5"/>
      <c r="I23" s="5" t="s">
        <v>200</v>
      </c>
      <c r="J23" s="5"/>
      <c r="K23" s="5" t="s">
        <v>200</v>
      </c>
      <c r="L23" s="5"/>
      <c r="M23" s="5" t="s">
        <v>200</v>
      </c>
      <c r="N23" s="5"/>
      <c r="O23" s="5" t="s">
        <v>210</v>
      </c>
      <c r="P23" s="5"/>
      <c r="Q23" s="5" t="s">
        <v>210</v>
      </c>
      <c r="R23" s="5" t="s">
        <v>1506</v>
      </c>
      <c r="S23" s="5" t="s">
        <v>210</v>
      </c>
      <c r="T23" s="5" t="s">
        <v>1533</v>
      </c>
      <c r="U23" s="5" t="s">
        <v>200</v>
      </c>
      <c r="V23" s="5"/>
      <c r="W23" s="5" t="s">
        <v>210</v>
      </c>
      <c r="X23" s="5"/>
      <c r="Y23" s="5" t="s">
        <v>204</v>
      </c>
      <c r="Z23" s="5"/>
      <c r="AA23" s="5" t="s">
        <v>204</v>
      </c>
      <c r="AB23" s="5"/>
      <c r="AC23" s="5" t="s">
        <v>200</v>
      </c>
      <c r="AD23" s="5"/>
      <c r="AE23" s="5" t="s">
        <v>210</v>
      </c>
      <c r="AF23" s="5"/>
      <c r="AG23" s="5" t="s">
        <v>204</v>
      </c>
      <c r="AH23" s="5"/>
      <c r="AI23" s="5" t="s">
        <v>210</v>
      </c>
      <c r="AJ23" s="5"/>
      <c r="AK23" s="5" t="s">
        <v>1489</v>
      </c>
      <c r="AL23" s="21" t="str">
        <f>E23</f>
        <v>no</v>
      </c>
      <c r="AM23" s="21" t="str">
        <f>G23</f>
        <v>no</v>
      </c>
      <c r="AN23" s="21" t="str">
        <f>I23</f>
        <v>yes</v>
      </c>
      <c r="AO23" s="21" t="str">
        <f>K23</f>
        <v>yes</v>
      </c>
      <c r="AP23" s="21" t="str">
        <f>M23</f>
        <v>yes</v>
      </c>
      <c r="AQ23" s="21" t="str">
        <f>O23</f>
        <v>no</v>
      </c>
      <c r="AR23" s="21" t="str">
        <f>Q23</f>
        <v>no</v>
      </c>
      <c r="AS23" s="21" t="str">
        <f>S23</f>
        <v>no</v>
      </c>
      <c r="AT23" s="21" t="str">
        <f>U23</f>
        <v>yes</v>
      </c>
      <c r="AU23" s="21" t="str">
        <f>W23</f>
        <v>no</v>
      </c>
      <c r="AV23" s="21" t="str">
        <f>Y23</f>
        <v>n/a</v>
      </c>
      <c r="AW23" s="21" t="str">
        <f>AA23</f>
        <v>n/a</v>
      </c>
      <c r="AX23" s="21" t="str">
        <f>AC23</f>
        <v>yes</v>
      </c>
      <c r="AY23" s="21" t="str">
        <f>AE23</f>
        <v>no</v>
      </c>
      <c r="AZ23" s="21" t="str">
        <f>AG23</f>
        <v>n/a</v>
      </c>
      <c r="BA23" s="21" t="str">
        <f>AI23</f>
        <v>no</v>
      </c>
      <c r="BB23" s="21" t="s">
        <v>200</v>
      </c>
      <c r="BC23" s="5">
        <f>COUNTIF(AL23:BA23, "Yes")</f>
        <v>5</v>
      </c>
      <c r="BD23" s="5">
        <f>COUNTIF(AL23:BA23, "Partial")</f>
        <v>0</v>
      </c>
      <c r="BE23" s="5">
        <f>COUNTIF(AL23:BA23, "No")</f>
        <v>8</v>
      </c>
      <c r="BF23" s="5">
        <f>SUM(BC23+(BD23/2))</f>
        <v>5</v>
      </c>
      <c r="BG23" s="5">
        <f>SUM(BC23:BE23)</f>
        <v>13</v>
      </c>
      <c r="BH23" s="34">
        <f>SUM(BF23/BG23)*100</f>
        <v>38.461538461538467</v>
      </c>
    </row>
    <row r="24" spans="2:60">
      <c r="B24" s="5" t="s">
        <v>659</v>
      </c>
      <c r="C24" s="5">
        <v>2015</v>
      </c>
      <c r="D24" s="5" t="s">
        <v>660</v>
      </c>
      <c r="E24" s="5" t="s">
        <v>210</v>
      </c>
      <c r="F24" s="5" t="s">
        <v>1534</v>
      </c>
      <c r="G24" s="5" t="s">
        <v>210</v>
      </c>
      <c r="H24" s="5"/>
      <c r="I24" s="5" t="s">
        <v>210</v>
      </c>
      <c r="J24" s="5"/>
      <c r="K24" s="5" t="s">
        <v>1483</v>
      </c>
      <c r="L24" s="5"/>
      <c r="M24" s="5" t="s">
        <v>210</v>
      </c>
      <c r="N24" s="5"/>
      <c r="O24" s="5" t="s">
        <v>210</v>
      </c>
      <c r="P24" s="5"/>
      <c r="Q24" s="5" t="s">
        <v>210</v>
      </c>
      <c r="R24" s="5"/>
      <c r="S24" s="5" t="s">
        <v>1483</v>
      </c>
      <c r="T24" s="5"/>
      <c r="U24" s="5" t="s">
        <v>200</v>
      </c>
      <c r="V24" s="5"/>
      <c r="W24" s="5" t="s">
        <v>210</v>
      </c>
      <c r="X24" s="5"/>
      <c r="Y24" s="5" t="s">
        <v>204</v>
      </c>
      <c r="Z24" s="5"/>
      <c r="AA24" s="5" t="s">
        <v>204</v>
      </c>
      <c r="AB24" s="5"/>
      <c r="AC24" s="5" t="s">
        <v>200</v>
      </c>
      <c r="AD24" s="5"/>
      <c r="AE24" s="5" t="s">
        <v>210</v>
      </c>
      <c r="AF24" s="5"/>
      <c r="AG24" s="5" t="s">
        <v>204</v>
      </c>
      <c r="AH24" s="5"/>
      <c r="AI24" s="5" t="s">
        <v>210</v>
      </c>
      <c r="AJ24" s="5"/>
      <c r="AK24" s="5" t="s">
        <v>1489</v>
      </c>
      <c r="AL24" s="21" t="str">
        <f>E24</f>
        <v>no</v>
      </c>
      <c r="AM24" s="21" t="str">
        <f>G24</f>
        <v>no</v>
      </c>
      <c r="AN24" s="21" t="str">
        <f>I24</f>
        <v>no</v>
      </c>
      <c r="AO24" s="21" t="str">
        <f>K24</f>
        <v>partial</v>
      </c>
      <c r="AP24" s="21" t="str">
        <f>M24</f>
        <v>no</v>
      </c>
      <c r="AQ24" s="21" t="str">
        <f>O24</f>
        <v>no</v>
      </c>
      <c r="AR24" s="21" t="str">
        <f>Q24</f>
        <v>no</v>
      </c>
      <c r="AS24" s="21" t="str">
        <f>S24</f>
        <v>partial</v>
      </c>
      <c r="AT24" s="21" t="str">
        <f>U24</f>
        <v>yes</v>
      </c>
      <c r="AU24" s="21" t="str">
        <f>W24</f>
        <v>no</v>
      </c>
      <c r="AV24" s="21" t="str">
        <f>Y24</f>
        <v>n/a</v>
      </c>
      <c r="AW24" s="21" t="str">
        <f>AA24</f>
        <v>n/a</v>
      </c>
      <c r="AX24" s="21" t="str">
        <f>AC24</f>
        <v>yes</v>
      </c>
      <c r="AY24" s="21" t="str">
        <f>AE24</f>
        <v>no</v>
      </c>
      <c r="AZ24" s="21" t="str">
        <f>AG24</f>
        <v>n/a</v>
      </c>
      <c r="BA24" s="21" t="str">
        <f>AI24</f>
        <v>no</v>
      </c>
      <c r="BB24" s="21" t="s">
        <v>200</v>
      </c>
      <c r="BC24" s="5">
        <f>COUNTIF(AL24:BA24, "Yes")</f>
        <v>2</v>
      </c>
      <c r="BD24" s="5">
        <f>COUNTIF(AL24:BA24, "Partial")</f>
        <v>2</v>
      </c>
      <c r="BE24" s="5">
        <f>COUNTIF(AL24:BA24, "No")</f>
        <v>9</v>
      </c>
      <c r="BF24" s="5">
        <f>SUM(BC24+(BD24/2))</f>
        <v>3</v>
      </c>
      <c r="BG24" s="5">
        <f>SUM(BC24:BE24)</f>
        <v>13</v>
      </c>
      <c r="BH24" s="34">
        <f>SUM(BF24/BG24)*100</f>
        <v>23.076923076923077</v>
      </c>
    </row>
    <row r="25" spans="2:60">
      <c r="B25" s="5" t="s">
        <v>683</v>
      </c>
      <c r="C25" s="5">
        <v>2010</v>
      </c>
      <c r="D25" s="5" t="s">
        <v>684</v>
      </c>
      <c r="E25" s="5" t="s">
        <v>210</v>
      </c>
      <c r="F25" s="5" t="s">
        <v>1535</v>
      </c>
      <c r="G25" s="5" t="s">
        <v>210</v>
      </c>
      <c r="H25" s="5"/>
      <c r="I25" s="5" t="s">
        <v>210</v>
      </c>
      <c r="J25" s="5" t="s">
        <v>1536</v>
      </c>
      <c r="K25" s="5" t="s">
        <v>1483</v>
      </c>
      <c r="L25" s="5"/>
      <c r="M25" s="5" t="s">
        <v>210</v>
      </c>
      <c r="N25" s="5" t="s">
        <v>261</v>
      </c>
      <c r="O25" s="5" t="s">
        <v>210</v>
      </c>
      <c r="P25" s="5" t="s">
        <v>261</v>
      </c>
      <c r="Q25" s="5" t="s">
        <v>210</v>
      </c>
      <c r="R25" s="5" t="s">
        <v>1506</v>
      </c>
      <c r="S25" s="5" t="s">
        <v>210</v>
      </c>
      <c r="T25" s="5" t="s">
        <v>1537</v>
      </c>
      <c r="U25" s="5" t="s">
        <v>200</v>
      </c>
      <c r="V25" s="5"/>
      <c r="W25" s="5" t="s">
        <v>210</v>
      </c>
      <c r="X25" s="5"/>
      <c r="Y25" s="5" t="s">
        <v>204</v>
      </c>
      <c r="Z25" s="5"/>
      <c r="AA25" s="5" t="s">
        <v>204</v>
      </c>
      <c r="AB25" s="5"/>
      <c r="AC25" s="5" t="s">
        <v>210</v>
      </c>
      <c r="AD25" s="5" t="s">
        <v>1538</v>
      </c>
      <c r="AE25" s="5" t="s">
        <v>210</v>
      </c>
      <c r="AF25" s="5"/>
      <c r="AG25" s="5" t="s">
        <v>204</v>
      </c>
      <c r="AH25" s="5"/>
      <c r="AI25" s="5" t="s">
        <v>210</v>
      </c>
      <c r="AJ25" s="5"/>
      <c r="AK25" s="5" t="s">
        <v>1489</v>
      </c>
      <c r="AL25" s="21" t="str">
        <f>E25</f>
        <v>no</v>
      </c>
      <c r="AM25" s="21" t="str">
        <f>G25</f>
        <v>no</v>
      </c>
      <c r="AN25" s="21" t="str">
        <f>I25</f>
        <v>no</v>
      </c>
      <c r="AO25" s="21" t="str">
        <f>K25</f>
        <v>partial</v>
      </c>
      <c r="AP25" s="21" t="str">
        <f>M25</f>
        <v>no</v>
      </c>
      <c r="AQ25" s="21" t="str">
        <f>O25</f>
        <v>no</v>
      </c>
      <c r="AR25" s="21" t="str">
        <f>Q25</f>
        <v>no</v>
      </c>
      <c r="AS25" s="21" t="str">
        <f>S25</f>
        <v>no</v>
      </c>
      <c r="AT25" s="21" t="str">
        <f>U25</f>
        <v>yes</v>
      </c>
      <c r="AU25" s="21" t="str">
        <f>W25</f>
        <v>no</v>
      </c>
      <c r="AV25" s="21" t="str">
        <f>Y25</f>
        <v>n/a</v>
      </c>
      <c r="AW25" s="21" t="str">
        <f>AA25</f>
        <v>n/a</v>
      </c>
      <c r="AX25" s="21" t="str">
        <f>AC25</f>
        <v>no</v>
      </c>
      <c r="AY25" s="21" t="str">
        <f>AE25</f>
        <v>no</v>
      </c>
      <c r="AZ25" s="21" t="str">
        <f>AG25</f>
        <v>n/a</v>
      </c>
      <c r="BA25" s="21" t="str">
        <f>AI25</f>
        <v>no</v>
      </c>
      <c r="BB25" s="21" t="s">
        <v>210</v>
      </c>
      <c r="BC25" s="5">
        <f>COUNTIF(AL25:BA25, "Yes")</f>
        <v>1</v>
      </c>
      <c r="BD25" s="5">
        <f>COUNTIF(AL25:BA25, "Partial")</f>
        <v>1</v>
      </c>
      <c r="BE25" s="5">
        <f>COUNTIF(AL25:BA25, "No")</f>
        <v>11</v>
      </c>
      <c r="BF25" s="5">
        <f>SUM(BC25+(BD25/2))</f>
        <v>1.5</v>
      </c>
      <c r="BG25" s="5">
        <f>SUM(BC25:BE25)</f>
        <v>13</v>
      </c>
      <c r="BH25" s="34">
        <f>SUM(BF25/BG25)*100</f>
        <v>11.538461538461538</v>
      </c>
    </row>
    <row r="26" spans="2:60">
      <c r="B26" s="5" t="s">
        <v>705</v>
      </c>
      <c r="C26" s="5">
        <v>2014</v>
      </c>
      <c r="D26" s="5" t="s">
        <v>706</v>
      </c>
      <c r="E26" s="5" t="s">
        <v>200</v>
      </c>
      <c r="F26" s="5"/>
      <c r="G26" s="5" t="s">
        <v>200</v>
      </c>
      <c r="H26" s="5" t="s">
        <v>1539</v>
      </c>
      <c r="I26" s="5" t="s">
        <v>200</v>
      </c>
      <c r="J26" s="5"/>
      <c r="K26" s="5" t="s">
        <v>200</v>
      </c>
      <c r="L26" s="5"/>
      <c r="M26" s="5" t="s">
        <v>210</v>
      </c>
      <c r="N26" s="5" t="s">
        <v>1540</v>
      </c>
      <c r="O26" s="5" t="s">
        <v>210</v>
      </c>
      <c r="P26" s="5" t="s">
        <v>1541</v>
      </c>
      <c r="Q26" s="5" t="s">
        <v>200</v>
      </c>
      <c r="R26" s="5"/>
      <c r="S26" s="5" t="s">
        <v>200</v>
      </c>
      <c r="U26" s="5" t="s">
        <v>200</v>
      </c>
      <c r="V26" s="5"/>
      <c r="W26" s="5" t="s">
        <v>200</v>
      </c>
      <c r="X26" s="5"/>
      <c r="Y26" s="5" t="s">
        <v>204</v>
      </c>
      <c r="Z26" s="5"/>
      <c r="AA26" s="5" t="s">
        <v>204</v>
      </c>
      <c r="AB26" s="5"/>
      <c r="AC26" s="5" t="s">
        <v>200</v>
      </c>
      <c r="AD26" s="5"/>
      <c r="AE26" s="5" t="s">
        <v>210</v>
      </c>
      <c r="AF26" s="5"/>
      <c r="AG26" s="5" t="s">
        <v>204</v>
      </c>
      <c r="AH26" s="5"/>
      <c r="AI26" s="5" t="s">
        <v>200</v>
      </c>
      <c r="AJ26" s="5"/>
      <c r="AK26" s="5" t="s">
        <v>1489</v>
      </c>
      <c r="AL26" s="21" t="str">
        <f>E26</f>
        <v>yes</v>
      </c>
      <c r="AM26" s="21" t="str">
        <f>G26</f>
        <v>yes</v>
      </c>
      <c r="AN26" s="21" t="str">
        <f>I26</f>
        <v>yes</v>
      </c>
      <c r="AO26" s="21" t="str">
        <f>K26</f>
        <v>yes</v>
      </c>
      <c r="AP26" s="21" t="str">
        <f>M26</f>
        <v>no</v>
      </c>
      <c r="AQ26" s="21" t="str">
        <f>O26</f>
        <v>no</v>
      </c>
      <c r="AR26" s="21" t="str">
        <f>Q26</f>
        <v>yes</v>
      </c>
      <c r="AS26" s="21" t="str">
        <f>S26</f>
        <v>yes</v>
      </c>
      <c r="AT26" s="21" t="str">
        <f>U26</f>
        <v>yes</v>
      </c>
      <c r="AU26" s="21" t="str">
        <f>W26</f>
        <v>yes</v>
      </c>
      <c r="AV26" s="21" t="str">
        <f>Y26</f>
        <v>n/a</v>
      </c>
      <c r="AW26" s="21" t="str">
        <f>AA26</f>
        <v>n/a</v>
      </c>
      <c r="AX26" s="21" t="str">
        <f>AC26</f>
        <v>yes</v>
      </c>
      <c r="AY26" s="21" t="str">
        <f>AE26</f>
        <v>no</v>
      </c>
      <c r="AZ26" s="21" t="str">
        <f>AG26</f>
        <v>n/a</v>
      </c>
      <c r="BA26" s="21" t="str">
        <f>AI26</f>
        <v>yes</v>
      </c>
      <c r="BB26" s="21" t="s">
        <v>200</v>
      </c>
      <c r="BC26" s="5">
        <f>COUNTIF(AL26:BA26, "Yes")</f>
        <v>10</v>
      </c>
      <c r="BD26" s="5">
        <f>COUNTIF(AL26:BA26, "Partial")</f>
        <v>0</v>
      </c>
      <c r="BE26" s="5">
        <f>COUNTIF(AL26:BA26, "No")</f>
        <v>3</v>
      </c>
      <c r="BF26" s="5">
        <f>SUM(BC26+(BD26/2))</f>
        <v>10</v>
      </c>
      <c r="BG26" s="5">
        <f>SUM(BC26:BE26)</f>
        <v>13</v>
      </c>
      <c r="BH26" s="34">
        <f>SUM(BF26/BG26)*100</f>
        <v>76.923076923076934</v>
      </c>
    </row>
    <row r="27" spans="2:60">
      <c r="B27" s="5" t="s">
        <v>728</v>
      </c>
      <c r="C27" s="5">
        <v>2014</v>
      </c>
      <c r="D27" s="5" t="s">
        <v>729</v>
      </c>
      <c r="E27" s="5" t="s">
        <v>200</v>
      </c>
      <c r="F27" s="5"/>
      <c r="G27" s="5" t="s">
        <v>1483</v>
      </c>
      <c r="H27" s="5" t="s">
        <v>1542</v>
      </c>
      <c r="I27" s="5" t="s">
        <v>200</v>
      </c>
      <c r="J27" s="5" t="s">
        <v>1543</v>
      </c>
      <c r="K27" s="5" t="s">
        <v>200</v>
      </c>
      <c r="L27" s="5"/>
      <c r="M27" s="5" t="s">
        <v>200</v>
      </c>
      <c r="N27" s="5"/>
      <c r="O27" s="5" t="s">
        <v>200</v>
      </c>
      <c r="P27" s="5"/>
      <c r="Q27" s="5" t="s">
        <v>200</v>
      </c>
      <c r="R27" s="5"/>
      <c r="S27" s="5" t="s">
        <v>210</v>
      </c>
      <c r="T27" s="5" t="s">
        <v>1544</v>
      </c>
      <c r="U27" s="5" t="s">
        <v>200</v>
      </c>
      <c r="V27" s="5"/>
      <c r="W27" s="5" t="s">
        <v>200</v>
      </c>
      <c r="X27" s="5"/>
      <c r="Y27" s="5" t="s">
        <v>204</v>
      </c>
      <c r="Z27" s="5"/>
      <c r="AA27" s="5" t="s">
        <v>204</v>
      </c>
      <c r="AB27" s="5"/>
      <c r="AC27" s="5" t="s">
        <v>210</v>
      </c>
      <c r="AD27" s="5"/>
      <c r="AE27" s="5" t="s">
        <v>210</v>
      </c>
      <c r="AF27" s="5"/>
      <c r="AG27" s="5" t="s">
        <v>204</v>
      </c>
      <c r="AH27" s="5"/>
      <c r="AI27" s="5" t="s">
        <v>200</v>
      </c>
      <c r="AJ27" s="5"/>
      <c r="AK27" s="5" t="s">
        <v>1489</v>
      </c>
      <c r="AL27" s="21" t="str">
        <f>E27</f>
        <v>yes</v>
      </c>
      <c r="AM27" s="21" t="str">
        <f>G27</f>
        <v>partial</v>
      </c>
      <c r="AN27" s="21" t="str">
        <f>I27</f>
        <v>yes</v>
      </c>
      <c r="AO27" s="21" t="str">
        <f>K27</f>
        <v>yes</v>
      </c>
      <c r="AP27" s="21" t="str">
        <f>M27</f>
        <v>yes</v>
      </c>
      <c r="AQ27" s="21" t="str">
        <f>O27</f>
        <v>yes</v>
      </c>
      <c r="AR27" s="21" t="str">
        <f>Q27</f>
        <v>yes</v>
      </c>
      <c r="AS27" s="21" t="str">
        <f>S27</f>
        <v>no</v>
      </c>
      <c r="AT27" s="21" t="str">
        <f>U27</f>
        <v>yes</v>
      </c>
      <c r="AU27" s="21" t="str">
        <f>W27</f>
        <v>yes</v>
      </c>
      <c r="AV27" s="21" t="str">
        <f>Y27</f>
        <v>n/a</v>
      </c>
      <c r="AW27" s="21" t="str">
        <f>AA27</f>
        <v>n/a</v>
      </c>
      <c r="AX27" s="21" t="str">
        <f>AC27</f>
        <v>no</v>
      </c>
      <c r="AY27" s="21" t="str">
        <f>AE27</f>
        <v>no</v>
      </c>
      <c r="AZ27" s="21" t="str">
        <f>AG27</f>
        <v>n/a</v>
      </c>
      <c r="BA27" s="21" t="str">
        <f>AI27</f>
        <v>yes</v>
      </c>
      <c r="BB27" s="21" t="s">
        <v>210</v>
      </c>
      <c r="BC27" s="5">
        <f>COUNTIF(AL27:BA27, "Yes")</f>
        <v>9</v>
      </c>
      <c r="BD27" s="5">
        <f>COUNTIF(AL27:BA27, "Partial")</f>
        <v>1</v>
      </c>
      <c r="BE27" s="5">
        <f>COUNTIF(AL27:BA27, "No")</f>
        <v>3</v>
      </c>
      <c r="BF27" s="5">
        <f>SUM(BC27+(BD27/2))</f>
        <v>9.5</v>
      </c>
      <c r="BG27" s="5">
        <f>SUM(BC27:BE27)</f>
        <v>13</v>
      </c>
      <c r="BH27" s="34">
        <f>SUM(BF27/BG27)*100</f>
        <v>73.076923076923066</v>
      </c>
    </row>
    <row r="28" spans="2:60">
      <c r="B28" s="5" t="s">
        <v>751</v>
      </c>
      <c r="C28" s="5">
        <v>2019</v>
      </c>
      <c r="D28" s="5" t="s">
        <v>752</v>
      </c>
      <c r="E28" s="5" t="s">
        <v>210</v>
      </c>
      <c r="F28" s="5" t="s">
        <v>1545</v>
      </c>
      <c r="G28" s="5" t="s">
        <v>210</v>
      </c>
      <c r="H28" s="5"/>
      <c r="I28" s="5" t="s">
        <v>210</v>
      </c>
      <c r="J28" s="5" t="s">
        <v>1546</v>
      </c>
      <c r="K28" s="5" t="s">
        <v>1483</v>
      </c>
      <c r="L28" s="5"/>
      <c r="M28" s="5" t="s">
        <v>210</v>
      </c>
      <c r="N28" s="5" t="s">
        <v>1547</v>
      </c>
      <c r="O28" s="5" t="s">
        <v>210</v>
      </c>
      <c r="P28" s="5" t="s">
        <v>1548</v>
      </c>
      <c r="Q28" s="5" t="s">
        <v>210</v>
      </c>
      <c r="R28" s="5" t="s">
        <v>1506</v>
      </c>
      <c r="S28" s="5" t="s">
        <v>210</v>
      </c>
      <c r="T28" s="5" t="s">
        <v>1549</v>
      </c>
      <c r="U28" s="5" t="s">
        <v>210</v>
      </c>
      <c r="V28" s="5" t="s">
        <v>1550</v>
      </c>
      <c r="W28" s="5" t="s">
        <v>210</v>
      </c>
      <c r="X28" s="5"/>
      <c r="Y28" s="5" t="s">
        <v>204</v>
      </c>
      <c r="Z28" s="5"/>
      <c r="AA28" s="5" t="s">
        <v>204</v>
      </c>
      <c r="AB28" s="5"/>
      <c r="AC28" s="5" t="s">
        <v>210</v>
      </c>
      <c r="AD28" s="5" t="s">
        <v>1551</v>
      </c>
      <c r="AE28" s="5" t="s">
        <v>210</v>
      </c>
      <c r="AF28" s="5"/>
      <c r="AG28" s="5" t="s">
        <v>204</v>
      </c>
      <c r="AH28" s="5"/>
      <c r="AI28" s="5" t="s">
        <v>200</v>
      </c>
      <c r="AJ28" s="5"/>
      <c r="AK28" s="5" t="s">
        <v>1489</v>
      </c>
      <c r="AL28" s="21" t="str">
        <f>E28</f>
        <v>no</v>
      </c>
      <c r="AM28" s="21" t="str">
        <f>G28</f>
        <v>no</v>
      </c>
      <c r="AN28" s="21" t="str">
        <f>I28</f>
        <v>no</v>
      </c>
      <c r="AO28" s="21" t="str">
        <f>K28</f>
        <v>partial</v>
      </c>
      <c r="AP28" s="21" t="str">
        <f>M28</f>
        <v>no</v>
      </c>
      <c r="AQ28" s="21" t="str">
        <f>O28</f>
        <v>no</v>
      </c>
      <c r="AR28" s="21" t="str">
        <f>Q28</f>
        <v>no</v>
      </c>
      <c r="AS28" s="21" t="str">
        <f>S28</f>
        <v>no</v>
      </c>
      <c r="AT28" s="21" t="str">
        <f>U28</f>
        <v>no</v>
      </c>
      <c r="AU28" s="21" t="str">
        <f>W28</f>
        <v>no</v>
      </c>
      <c r="AV28" s="21" t="str">
        <f>Y28</f>
        <v>n/a</v>
      </c>
      <c r="AW28" s="21" t="str">
        <f>AA28</f>
        <v>n/a</v>
      </c>
      <c r="AX28" s="21" t="str">
        <f>AC28</f>
        <v>no</v>
      </c>
      <c r="AY28" s="21" t="str">
        <f>AE28</f>
        <v>no</v>
      </c>
      <c r="AZ28" s="21" t="str">
        <f>AG28</f>
        <v>n/a</v>
      </c>
      <c r="BA28" s="21" t="str">
        <f>AI28</f>
        <v>yes</v>
      </c>
      <c r="BB28" s="21" t="s">
        <v>210</v>
      </c>
      <c r="BC28" s="5">
        <f>COUNTIF(AL28:BA28, "Yes")</f>
        <v>1</v>
      </c>
      <c r="BD28" s="5">
        <f>COUNTIF(AL28:BA28, "Partial")</f>
        <v>1</v>
      </c>
      <c r="BE28" s="5">
        <f>COUNTIF(AL28:BA28, "No")</f>
        <v>11</v>
      </c>
      <c r="BF28" s="5">
        <f>SUM(BC28+(BD28/2))</f>
        <v>1.5</v>
      </c>
      <c r="BG28" s="5">
        <f>SUM(BC28:BE28)</f>
        <v>13</v>
      </c>
      <c r="BH28" s="34">
        <f>SUM(BF28/BG28)*100</f>
        <v>11.538461538461538</v>
      </c>
    </row>
    <row r="29" spans="2:60">
      <c r="B29" s="5" t="s">
        <v>775</v>
      </c>
      <c r="C29" s="5">
        <v>2018</v>
      </c>
      <c r="D29" s="5" t="s">
        <v>778</v>
      </c>
      <c r="E29" s="5" t="s">
        <v>200</v>
      </c>
      <c r="F29" s="5" t="s">
        <v>1552</v>
      </c>
      <c r="G29" s="5" t="s">
        <v>1483</v>
      </c>
      <c r="H29" s="5" t="s">
        <v>1553</v>
      </c>
      <c r="I29" s="5" t="s">
        <v>210</v>
      </c>
      <c r="J29" s="5" t="s">
        <v>1554</v>
      </c>
      <c r="K29" s="5" t="s">
        <v>200</v>
      </c>
      <c r="L29" s="5"/>
      <c r="M29" s="5" t="s">
        <v>200</v>
      </c>
      <c r="N29" s="5"/>
      <c r="O29" s="5" t="s">
        <v>210</v>
      </c>
      <c r="P29" s="5" t="s">
        <v>1555</v>
      </c>
      <c r="Q29" s="5" t="s">
        <v>210</v>
      </c>
      <c r="R29" s="5"/>
      <c r="S29" s="5" t="s">
        <v>200</v>
      </c>
      <c r="T29" s="5"/>
      <c r="U29" s="5" t="s">
        <v>200</v>
      </c>
      <c r="V29" s="5"/>
      <c r="W29" s="5" t="s">
        <v>210</v>
      </c>
      <c r="X29" s="5"/>
      <c r="Y29" s="5" t="s">
        <v>204</v>
      </c>
      <c r="Z29" s="5"/>
      <c r="AA29" s="5" t="s">
        <v>204</v>
      </c>
      <c r="AB29" s="5"/>
      <c r="AC29" s="5" t="s">
        <v>210</v>
      </c>
      <c r="AD29" s="5"/>
      <c r="AE29" s="5" t="s">
        <v>210</v>
      </c>
      <c r="AF29" s="5"/>
      <c r="AG29" s="5" t="s">
        <v>204</v>
      </c>
      <c r="AH29" s="5"/>
      <c r="AI29" s="5" t="s">
        <v>210</v>
      </c>
      <c r="AJ29" s="5"/>
      <c r="AK29" s="5" t="s">
        <v>1489</v>
      </c>
      <c r="AL29" s="21" t="str">
        <f>E29</f>
        <v>yes</v>
      </c>
      <c r="AM29" s="21" t="str">
        <f>G29</f>
        <v>partial</v>
      </c>
      <c r="AN29" s="21" t="str">
        <f>I29</f>
        <v>no</v>
      </c>
      <c r="AO29" s="21" t="str">
        <f>K29</f>
        <v>yes</v>
      </c>
      <c r="AP29" s="21" t="str">
        <f>M29</f>
        <v>yes</v>
      </c>
      <c r="AQ29" s="21" t="str">
        <f>O29</f>
        <v>no</v>
      </c>
      <c r="AR29" s="21" t="str">
        <f>Q29</f>
        <v>no</v>
      </c>
      <c r="AS29" s="21" t="str">
        <f>S29</f>
        <v>yes</v>
      </c>
      <c r="AT29" s="21" t="str">
        <f>U29</f>
        <v>yes</v>
      </c>
      <c r="AU29" s="21" t="str">
        <f>W29</f>
        <v>no</v>
      </c>
      <c r="AV29" s="21" t="str">
        <f>Y29</f>
        <v>n/a</v>
      </c>
      <c r="AW29" s="21" t="str">
        <f>AA29</f>
        <v>n/a</v>
      </c>
      <c r="AX29" s="21" t="str">
        <f>AC29</f>
        <v>no</v>
      </c>
      <c r="AY29" s="21" t="str">
        <f>AE29</f>
        <v>no</v>
      </c>
      <c r="AZ29" s="21" t="str">
        <f>AG29</f>
        <v>n/a</v>
      </c>
      <c r="BA29" s="21" t="str">
        <f>AI29</f>
        <v>no</v>
      </c>
      <c r="BB29" s="21" t="s">
        <v>210</v>
      </c>
      <c r="BC29" s="5">
        <f>COUNTIF(AL29:BA29, "Yes")</f>
        <v>5</v>
      </c>
      <c r="BD29" s="5">
        <f>COUNTIF(AL29:BA29, "Partial")</f>
        <v>1</v>
      </c>
      <c r="BE29" s="5">
        <f>COUNTIF(AL29:BA29, "No")</f>
        <v>7</v>
      </c>
      <c r="BF29" s="5">
        <f>SUM(BC29+(BD29/2))</f>
        <v>5.5</v>
      </c>
      <c r="BG29" s="5">
        <f>SUM(BC29:BE29)</f>
        <v>13</v>
      </c>
      <c r="BH29" s="34">
        <f>SUM(BF29/BG29)*100</f>
        <v>42.307692307692307</v>
      </c>
    </row>
    <row r="30" spans="2:60">
      <c r="B30" s="5" t="s">
        <v>801</v>
      </c>
      <c r="C30" s="5">
        <v>2019</v>
      </c>
      <c r="D30" s="5" t="s">
        <v>802</v>
      </c>
      <c r="E30" s="5" t="s">
        <v>210</v>
      </c>
      <c r="F30" s="5" t="s">
        <v>472</v>
      </c>
      <c r="G30" s="5" t="s">
        <v>210</v>
      </c>
      <c r="H30" s="5"/>
      <c r="I30" s="5" t="s">
        <v>210</v>
      </c>
      <c r="J30" s="5" t="s">
        <v>1556</v>
      </c>
      <c r="K30" s="5" t="s">
        <v>1483</v>
      </c>
      <c r="L30" s="5"/>
      <c r="M30" s="5" t="s">
        <v>210</v>
      </c>
      <c r="N30" s="5"/>
      <c r="O30" s="5" t="s">
        <v>200</v>
      </c>
      <c r="P30" s="5"/>
      <c r="Q30" s="5" t="s">
        <v>210</v>
      </c>
      <c r="R30" s="5" t="s">
        <v>1506</v>
      </c>
      <c r="S30" s="5" t="s">
        <v>210</v>
      </c>
      <c r="T30" s="5" t="s">
        <v>1557</v>
      </c>
      <c r="U30" s="5" t="s">
        <v>200</v>
      </c>
      <c r="V30" s="5"/>
      <c r="W30" s="5" t="s">
        <v>210</v>
      </c>
      <c r="X30" s="5"/>
      <c r="Y30" s="5" t="s">
        <v>204</v>
      </c>
      <c r="Z30" s="5"/>
      <c r="AA30" s="5" t="s">
        <v>204</v>
      </c>
      <c r="AB30" s="5"/>
      <c r="AC30" s="5" t="s">
        <v>210</v>
      </c>
      <c r="AD30" s="5"/>
      <c r="AE30" s="5" t="s">
        <v>210</v>
      </c>
      <c r="AF30" s="5"/>
      <c r="AG30" s="5" t="s">
        <v>204</v>
      </c>
      <c r="AH30" s="5"/>
      <c r="AI30" s="5" t="s">
        <v>210</v>
      </c>
      <c r="AJ30" s="5"/>
      <c r="AK30" s="5" t="s">
        <v>1489</v>
      </c>
      <c r="AL30" s="21" t="str">
        <f>E30</f>
        <v>no</v>
      </c>
      <c r="AM30" s="21" t="str">
        <f>G30</f>
        <v>no</v>
      </c>
      <c r="AN30" s="21" t="str">
        <f>I30</f>
        <v>no</v>
      </c>
      <c r="AO30" s="21" t="str">
        <f>K30</f>
        <v>partial</v>
      </c>
      <c r="AP30" s="21" t="str">
        <f>M30</f>
        <v>no</v>
      </c>
      <c r="AQ30" s="21" t="str">
        <f>O30</f>
        <v>yes</v>
      </c>
      <c r="AR30" s="21" t="str">
        <f>Q30</f>
        <v>no</v>
      </c>
      <c r="AS30" s="21" t="str">
        <f>S30</f>
        <v>no</v>
      </c>
      <c r="AT30" s="21" t="str">
        <f>U30</f>
        <v>yes</v>
      </c>
      <c r="AU30" s="21" t="str">
        <f>W30</f>
        <v>no</v>
      </c>
      <c r="AV30" s="21" t="str">
        <f>Y30</f>
        <v>n/a</v>
      </c>
      <c r="AW30" s="21" t="str">
        <f>AA30</f>
        <v>n/a</v>
      </c>
      <c r="AX30" s="21" t="str">
        <f>AC30</f>
        <v>no</v>
      </c>
      <c r="AY30" s="21" t="str">
        <f>AE30</f>
        <v>no</v>
      </c>
      <c r="AZ30" s="21" t="str">
        <f>AG30</f>
        <v>n/a</v>
      </c>
      <c r="BA30" s="21" t="str">
        <f>AI30</f>
        <v>no</v>
      </c>
      <c r="BB30" s="21" t="s">
        <v>210</v>
      </c>
      <c r="BC30" s="5">
        <f>COUNTIF(AL30:BA30, "Yes")</f>
        <v>2</v>
      </c>
      <c r="BD30" s="5">
        <f>COUNTIF(AL30:BA30, "Partial")</f>
        <v>1</v>
      </c>
      <c r="BE30" s="5">
        <f>COUNTIF(AL30:BA30, "No")</f>
        <v>10</v>
      </c>
      <c r="BF30" s="5">
        <f>SUM(BC30+(BD30/2))</f>
        <v>2.5</v>
      </c>
      <c r="BG30" s="5">
        <f>SUM(BC30:BE30)</f>
        <v>13</v>
      </c>
      <c r="BH30" s="34">
        <f>SUM(BF30/BG30)*100</f>
        <v>19.230769230769234</v>
      </c>
    </row>
    <row r="31" spans="2:60">
      <c r="B31" s="5" t="s">
        <v>828</v>
      </c>
      <c r="C31" s="5">
        <v>2020</v>
      </c>
      <c r="D31" s="5" t="s">
        <v>829</v>
      </c>
      <c r="E31" s="5" t="s">
        <v>200</v>
      </c>
      <c r="F31" s="5"/>
      <c r="G31" s="5" t="s">
        <v>203</v>
      </c>
      <c r="H31" s="5" t="s">
        <v>1558</v>
      </c>
      <c r="I31" s="5" t="s">
        <v>210</v>
      </c>
      <c r="J31" s="5" t="s">
        <v>1559</v>
      </c>
      <c r="K31" s="5" t="s">
        <v>1483</v>
      </c>
      <c r="L31" s="5" t="s">
        <v>1560</v>
      </c>
      <c r="M31" s="5" t="s">
        <v>200</v>
      </c>
      <c r="N31" s="5"/>
      <c r="O31" s="5" t="s">
        <v>210</v>
      </c>
      <c r="P31" s="5"/>
      <c r="Q31" s="5" t="s">
        <v>210</v>
      </c>
      <c r="R31" s="5" t="s">
        <v>1506</v>
      </c>
      <c r="S31" s="5" t="s">
        <v>200</v>
      </c>
      <c r="T31" s="5"/>
      <c r="U31" s="5" t="s">
        <v>200</v>
      </c>
      <c r="V31" s="5"/>
      <c r="W31" s="5" t="s">
        <v>210</v>
      </c>
      <c r="X31" s="5"/>
      <c r="Y31" s="5" t="s">
        <v>204</v>
      </c>
      <c r="Z31" s="5"/>
      <c r="AA31" s="5" t="s">
        <v>204</v>
      </c>
      <c r="AB31" s="5"/>
      <c r="AC31" s="5" t="s">
        <v>200</v>
      </c>
      <c r="AD31" s="5"/>
      <c r="AE31" s="5" t="s">
        <v>210</v>
      </c>
      <c r="AF31" s="5"/>
      <c r="AG31" s="5" t="s">
        <v>204</v>
      </c>
      <c r="AH31" s="5"/>
      <c r="AI31" s="5" t="s">
        <v>200</v>
      </c>
      <c r="AJ31" s="5"/>
      <c r="AK31" s="5" t="s">
        <v>1489</v>
      </c>
      <c r="AL31" s="21" t="str">
        <f>E31</f>
        <v>yes</v>
      </c>
      <c r="AM31" s="21" t="str">
        <f>G31</f>
        <v>No</v>
      </c>
      <c r="AN31" s="21" t="str">
        <f>I31</f>
        <v>no</v>
      </c>
      <c r="AO31" s="21" t="str">
        <f>K31</f>
        <v>partial</v>
      </c>
      <c r="AP31" s="21" t="str">
        <f>M31</f>
        <v>yes</v>
      </c>
      <c r="AQ31" s="21" t="str">
        <f>O31</f>
        <v>no</v>
      </c>
      <c r="AR31" s="21" t="str">
        <f>Q31</f>
        <v>no</v>
      </c>
      <c r="AS31" s="21" t="str">
        <f>S31</f>
        <v>yes</v>
      </c>
      <c r="AT31" s="21" t="str">
        <f>U31</f>
        <v>yes</v>
      </c>
      <c r="AU31" s="21" t="str">
        <f>W31</f>
        <v>no</v>
      </c>
      <c r="AV31" s="21" t="str">
        <f>Y31</f>
        <v>n/a</v>
      </c>
      <c r="AW31" s="21" t="str">
        <f>AA31</f>
        <v>n/a</v>
      </c>
      <c r="AX31" s="21" t="str">
        <f>AC31</f>
        <v>yes</v>
      </c>
      <c r="AY31" s="21" t="str">
        <f>AE31</f>
        <v>no</v>
      </c>
      <c r="AZ31" s="21" t="str">
        <f>AG31</f>
        <v>n/a</v>
      </c>
      <c r="BA31" s="21" t="str">
        <f>AI31</f>
        <v>yes</v>
      </c>
      <c r="BB31" s="21" t="s">
        <v>200</v>
      </c>
      <c r="BC31" s="5">
        <f>COUNTIF(AL31:BA31, "Yes")</f>
        <v>6</v>
      </c>
      <c r="BD31" s="5">
        <f>COUNTIF(AL31:BA31, "Partial")</f>
        <v>1</v>
      </c>
      <c r="BE31" s="5">
        <f>COUNTIF(AL31:BA31, "No")</f>
        <v>6</v>
      </c>
      <c r="BF31" s="5">
        <f>SUM(BC31+(BD31/2))</f>
        <v>6.5</v>
      </c>
      <c r="BG31" s="5">
        <f>SUM(BC31:BE31)</f>
        <v>13</v>
      </c>
      <c r="BH31" s="34">
        <f>SUM(BF31/BG31)*100</f>
        <v>50</v>
      </c>
    </row>
    <row r="32" spans="2:60">
      <c r="B32" s="5" t="s">
        <v>850</v>
      </c>
      <c r="C32" s="5">
        <v>2011</v>
      </c>
      <c r="D32" s="5" t="s">
        <v>851</v>
      </c>
      <c r="E32" s="5" t="s">
        <v>200</v>
      </c>
      <c r="F32" s="5" t="s">
        <v>1561</v>
      </c>
      <c r="G32" s="5" t="s">
        <v>210</v>
      </c>
      <c r="H32" s="5"/>
      <c r="I32" s="5" t="s">
        <v>200</v>
      </c>
      <c r="J32" s="5"/>
      <c r="K32" s="5" t="s">
        <v>1483</v>
      </c>
      <c r="L32" s="5"/>
      <c r="M32" s="5" t="s">
        <v>210</v>
      </c>
      <c r="N32" s="5"/>
      <c r="O32" s="5" t="s">
        <v>210</v>
      </c>
      <c r="P32" s="5"/>
      <c r="Q32" s="5" t="s">
        <v>210</v>
      </c>
      <c r="R32" s="5"/>
      <c r="S32" s="5" t="s">
        <v>210</v>
      </c>
      <c r="T32" s="5" t="s">
        <v>1562</v>
      </c>
      <c r="U32" s="5" t="s">
        <v>210</v>
      </c>
      <c r="V32" s="5"/>
      <c r="W32" s="5" t="s">
        <v>210</v>
      </c>
      <c r="X32" s="5"/>
      <c r="Y32" s="5" t="s">
        <v>200</v>
      </c>
      <c r="Z32" s="5" t="s">
        <v>1563</v>
      </c>
      <c r="AA32" s="5" t="s">
        <v>210</v>
      </c>
      <c r="AB32" s="5"/>
      <c r="AC32" s="5" t="s">
        <v>210</v>
      </c>
      <c r="AD32" s="5"/>
      <c r="AE32" s="5" t="s">
        <v>200</v>
      </c>
      <c r="AF32" s="5"/>
      <c r="AG32" s="5" t="s">
        <v>210</v>
      </c>
      <c r="AH32" s="5"/>
      <c r="AI32" s="5" t="s">
        <v>200</v>
      </c>
      <c r="AJ32" s="5"/>
      <c r="AK32" s="5" t="s">
        <v>1489</v>
      </c>
      <c r="AL32" s="21" t="str">
        <f>E32</f>
        <v>yes</v>
      </c>
      <c r="AM32" s="21" t="str">
        <f>G32</f>
        <v>no</v>
      </c>
      <c r="AN32" s="21" t="str">
        <f>I32</f>
        <v>yes</v>
      </c>
      <c r="AO32" s="21" t="str">
        <f>K32</f>
        <v>partial</v>
      </c>
      <c r="AP32" s="21" t="str">
        <f>M32</f>
        <v>no</v>
      </c>
      <c r="AQ32" s="21" t="str">
        <f>O32</f>
        <v>no</v>
      </c>
      <c r="AR32" s="21" t="str">
        <f>Q32</f>
        <v>no</v>
      </c>
      <c r="AS32" s="21" t="str">
        <f>S32</f>
        <v>no</v>
      </c>
      <c r="AT32" s="21" t="str">
        <f>U32</f>
        <v>no</v>
      </c>
      <c r="AU32" s="21" t="str">
        <f>W32</f>
        <v>no</v>
      </c>
      <c r="AV32" s="21" t="str">
        <f>Y32</f>
        <v>yes</v>
      </c>
      <c r="AW32" s="21" t="str">
        <f>AA32</f>
        <v>no</v>
      </c>
      <c r="AX32" s="21" t="str">
        <f>AC32</f>
        <v>no</v>
      </c>
      <c r="AY32" s="21" t="str">
        <f>AE32</f>
        <v>yes</v>
      </c>
      <c r="AZ32" s="21" t="str">
        <f>AG32</f>
        <v>no</v>
      </c>
      <c r="BA32" s="21" t="str">
        <f>AI32</f>
        <v>yes</v>
      </c>
      <c r="BB32" s="21" t="s">
        <v>210</v>
      </c>
      <c r="BC32" s="5">
        <f>COUNTIF(AL32:BA32, "Yes")</f>
        <v>5</v>
      </c>
      <c r="BD32" s="5">
        <f>COUNTIF(AL32:BA32, "Partial")</f>
        <v>1</v>
      </c>
      <c r="BE32" s="5">
        <f>COUNTIF(AL32:BA32, "No")</f>
        <v>10</v>
      </c>
      <c r="BF32" s="5">
        <f>SUM(BC32+(BD32/2))</f>
        <v>5.5</v>
      </c>
      <c r="BG32" s="5">
        <f>SUM(BC32:BE32)</f>
        <v>16</v>
      </c>
      <c r="BH32" s="34">
        <f>SUM(BF32/BG32)*100</f>
        <v>34.375</v>
      </c>
    </row>
    <row r="33" spans="2:60">
      <c r="B33" s="5" t="s">
        <v>868</v>
      </c>
      <c r="C33" s="5">
        <v>2015</v>
      </c>
      <c r="D33" s="5" t="s">
        <v>869</v>
      </c>
      <c r="E33" s="5" t="s">
        <v>210</v>
      </c>
      <c r="F33" s="5" t="s">
        <v>1564</v>
      </c>
      <c r="G33" s="5" t="s">
        <v>210</v>
      </c>
      <c r="H33" s="5"/>
      <c r="I33" s="5" t="s">
        <v>200</v>
      </c>
      <c r="J33" s="5"/>
      <c r="K33" s="5" t="s">
        <v>1483</v>
      </c>
      <c r="L33" s="5" t="s">
        <v>1565</v>
      </c>
      <c r="M33" s="5" t="s">
        <v>200</v>
      </c>
      <c r="N33" s="5"/>
      <c r="O33" s="5" t="s">
        <v>210</v>
      </c>
      <c r="P33" s="5" t="s">
        <v>261</v>
      </c>
      <c r="Q33" s="5" t="s">
        <v>210</v>
      </c>
      <c r="R33" s="5" t="s">
        <v>1506</v>
      </c>
      <c r="S33" s="5" t="s">
        <v>210</v>
      </c>
      <c r="T33" s="5" t="s">
        <v>1566</v>
      </c>
      <c r="U33" s="5" t="s">
        <v>210</v>
      </c>
      <c r="V33" s="5"/>
      <c r="W33" s="5" t="s">
        <v>210</v>
      </c>
      <c r="X33" s="5"/>
      <c r="Y33" s="5" t="s">
        <v>204</v>
      </c>
      <c r="Z33" s="5"/>
      <c r="AA33" s="5" t="s">
        <v>204</v>
      </c>
      <c r="AB33" s="5"/>
      <c r="AC33" s="5" t="s">
        <v>210</v>
      </c>
      <c r="AD33" s="5"/>
      <c r="AE33" s="5" t="s">
        <v>210</v>
      </c>
      <c r="AF33" s="5"/>
      <c r="AG33" s="5" t="s">
        <v>204</v>
      </c>
      <c r="AH33" s="5"/>
      <c r="AI33" s="5" t="s">
        <v>210</v>
      </c>
      <c r="AJ33" s="5"/>
      <c r="AK33" s="5" t="s">
        <v>1489</v>
      </c>
      <c r="AL33" s="21" t="str">
        <f>E33</f>
        <v>no</v>
      </c>
      <c r="AM33" s="21" t="str">
        <f>G33</f>
        <v>no</v>
      </c>
      <c r="AN33" s="21" t="str">
        <f>I33</f>
        <v>yes</v>
      </c>
      <c r="AO33" s="21" t="str">
        <f>K33</f>
        <v>partial</v>
      </c>
      <c r="AP33" s="21" t="str">
        <f>M33</f>
        <v>yes</v>
      </c>
      <c r="AQ33" s="21" t="str">
        <f>O33</f>
        <v>no</v>
      </c>
      <c r="AR33" s="21" t="str">
        <f>Q33</f>
        <v>no</v>
      </c>
      <c r="AS33" s="21" t="str">
        <f>S33</f>
        <v>no</v>
      </c>
      <c r="AT33" s="21" t="str">
        <f>U33</f>
        <v>no</v>
      </c>
      <c r="AU33" s="21" t="str">
        <f>W33</f>
        <v>no</v>
      </c>
      <c r="AV33" s="21" t="str">
        <f>Y33</f>
        <v>n/a</v>
      </c>
      <c r="AW33" s="21" t="str">
        <f>AA33</f>
        <v>n/a</v>
      </c>
      <c r="AX33" s="21" t="str">
        <f>AC33</f>
        <v>no</v>
      </c>
      <c r="AY33" s="21" t="str">
        <f>AE33</f>
        <v>no</v>
      </c>
      <c r="AZ33" s="21" t="str">
        <f>AG33</f>
        <v>n/a</v>
      </c>
      <c r="BA33" s="21" t="str">
        <f>AI33</f>
        <v>no</v>
      </c>
      <c r="BB33" s="21" t="s">
        <v>210</v>
      </c>
      <c r="BC33" s="5">
        <f>COUNTIF(AL33:BA33, "Yes")</f>
        <v>2</v>
      </c>
      <c r="BD33" s="5">
        <f>COUNTIF(AL33:BA33, "Partial")</f>
        <v>1</v>
      </c>
      <c r="BE33" s="5">
        <f>COUNTIF(AL33:BA33, "No")</f>
        <v>10</v>
      </c>
      <c r="BF33" s="5">
        <f>SUM(BC33+(BD33/2))</f>
        <v>2.5</v>
      </c>
      <c r="BG33" s="5">
        <f>SUM(BC33:BE33)</f>
        <v>13</v>
      </c>
      <c r="BH33" s="34">
        <f>SUM(BF33/BG33)*100</f>
        <v>19.230769230769234</v>
      </c>
    </row>
    <row r="34" spans="2:60">
      <c r="B34" s="5" t="s">
        <v>887</v>
      </c>
      <c r="C34" s="5">
        <v>2019</v>
      </c>
      <c r="D34" s="5" t="s">
        <v>888</v>
      </c>
      <c r="E34" t="s">
        <v>200</v>
      </c>
      <c r="F34" t="s">
        <v>1567</v>
      </c>
      <c r="G34" t="s">
        <v>210</v>
      </c>
      <c r="I34" t="s">
        <v>210</v>
      </c>
      <c r="J34" t="s">
        <v>1556</v>
      </c>
      <c r="K34" t="s">
        <v>1483</v>
      </c>
      <c r="M34" t="s">
        <v>200</v>
      </c>
      <c r="O34" t="s">
        <v>200</v>
      </c>
      <c r="Q34" t="s">
        <v>210</v>
      </c>
      <c r="S34" t="s">
        <v>1483</v>
      </c>
      <c r="T34" t="s">
        <v>1568</v>
      </c>
      <c r="U34" t="s">
        <v>200</v>
      </c>
      <c r="W34" t="s">
        <v>210</v>
      </c>
      <c r="Y34" t="s">
        <v>204</v>
      </c>
      <c r="AA34" t="s">
        <v>204</v>
      </c>
      <c r="AC34" t="s">
        <v>210</v>
      </c>
      <c r="AE34" t="s">
        <v>200</v>
      </c>
      <c r="AG34" t="s">
        <v>204</v>
      </c>
      <c r="AI34" t="s">
        <v>210</v>
      </c>
      <c r="AJ34" s="5"/>
      <c r="AK34" s="5" t="s">
        <v>1489</v>
      </c>
      <c r="AL34" s="21" t="str">
        <f>E34</f>
        <v>yes</v>
      </c>
      <c r="AM34" s="21" t="str">
        <f>G34</f>
        <v>no</v>
      </c>
      <c r="AN34" s="21" t="str">
        <f>I34</f>
        <v>no</v>
      </c>
      <c r="AO34" s="21" t="str">
        <f>K34</f>
        <v>partial</v>
      </c>
      <c r="AP34" s="21" t="str">
        <f>M34</f>
        <v>yes</v>
      </c>
      <c r="AQ34" s="21" t="str">
        <f>O34</f>
        <v>yes</v>
      </c>
      <c r="AR34" s="21" t="str">
        <f>Q34</f>
        <v>no</v>
      </c>
      <c r="AS34" s="21" t="str">
        <f>S34</f>
        <v>partial</v>
      </c>
      <c r="AT34" s="21" t="str">
        <f>U34</f>
        <v>yes</v>
      </c>
      <c r="AU34" s="21" t="str">
        <f>W34</f>
        <v>no</v>
      </c>
      <c r="AV34" s="21" t="str">
        <f>Y34</f>
        <v>n/a</v>
      </c>
      <c r="AW34" s="21" t="str">
        <f>AA34</f>
        <v>n/a</v>
      </c>
      <c r="AX34" s="21" t="str">
        <f>AC34</f>
        <v>no</v>
      </c>
      <c r="AY34" s="21" t="str">
        <f>AE34</f>
        <v>yes</v>
      </c>
      <c r="AZ34" s="21" t="str">
        <f>AG34</f>
        <v>n/a</v>
      </c>
      <c r="BA34" s="21" t="str">
        <f>AI34</f>
        <v>no</v>
      </c>
      <c r="BB34" s="21" t="s">
        <v>210</v>
      </c>
      <c r="BC34" s="5">
        <f>COUNTIF(AL34:BA34, "Yes")</f>
        <v>5</v>
      </c>
      <c r="BD34" s="5">
        <f>COUNTIF(AL34:BA34, "Partial")</f>
        <v>2</v>
      </c>
      <c r="BE34" s="5">
        <f>COUNTIF(AL34:BA34, "No")</f>
        <v>6</v>
      </c>
      <c r="BF34" s="5">
        <f>SUM(BC34+(BD34/2))</f>
        <v>6</v>
      </c>
      <c r="BG34" s="5">
        <f>SUM(BC34:BE34)</f>
        <v>13</v>
      </c>
      <c r="BH34" s="34">
        <f>SUM(BF34/BG34)*100</f>
        <v>46.153846153846153</v>
      </c>
    </row>
    <row r="35" spans="2:60">
      <c r="B35" s="50" t="s">
        <v>903</v>
      </c>
      <c r="C35" s="50">
        <v>2017</v>
      </c>
      <c r="D35" s="5" t="s">
        <v>904</v>
      </c>
      <c r="E35" s="5" t="s">
        <v>210</v>
      </c>
      <c r="F35" s="5"/>
      <c r="G35" s="5" t="s">
        <v>210</v>
      </c>
      <c r="H35" s="5"/>
      <c r="I35" s="5" t="s">
        <v>200</v>
      </c>
      <c r="J35" s="5"/>
      <c r="K35" s="5" t="s">
        <v>1483</v>
      </c>
      <c r="L35" s="5"/>
      <c r="M35" s="5" t="s">
        <v>210</v>
      </c>
      <c r="N35" s="5" t="s">
        <v>1569</v>
      </c>
      <c r="O35" s="5" t="s">
        <v>210</v>
      </c>
      <c r="P35" s="5"/>
      <c r="Q35" s="5" t="s">
        <v>210</v>
      </c>
      <c r="R35" s="5"/>
      <c r="S35" s="5" t="s">
        <v>210</v>
      </c>
      <c r="T35" s="5"/>
      <c r="U35" t="s">
        <v>210</v>
      </c>
      <c r="V35" s="5"/>
      <c r="W35" s="5" t="s">
        <v>210</v>
      </c>
      <c r="X35" s="5"/>
      <c r="Y35" s="5" t="s">
        <v>204</v>
      </c>
      <c r="Z35" s="5"/>
      <c r="AA35" s="5" t="s">
        <v>204</v>
      </c>
      <c r="AB35" s="5"/>
      <c r="AC35" s="5" t="s">
        <v>210</v>
      </c>
      <c r="AD35" s="5"/>
      <c r="AE35" s="5" t="s">
        <v>200</v>
      </c>
      <c r="AF35" s="5"/>
      <c r="AG35" s="5" t="s">
        <v>204</v>
      </c>
      <c r="AH35" s="5"/>
      <c r="AI35" s="5" t="s">
        <v>210</v>
      </c>
      <c r="AJ35" s="5"/>
      <c r="AK35" s="5" t="s">
        <v>1489</v>
      </c>
      <c r="AL35" s="21" t="str">
        <f>E35</f>
        <v>no</v>
      </c>
      <c r="AM35" s="21" t="str">
        <f>G35</f>
        <v>no</v>
      </c>
      <c r="AN35" s="21" t="str">
        <f>I35</f>
        <v>yes</v>
      </c>
      <c r="AO35" s="21" t="str">
        <f>K35</f>
        <v>partial</v>
      </c>
      <c r="AP35" s="21" t="str">
        <f>M35</f>
        <v>no</v>
      </c>
      <c r="AQ35" s="21" t="str">
        <f>O35</f>
        <v>no</v>
      </c>
      <c r="AR35" s="21" t="str">
        <f>Q35</f>
        <v>no</v>
      </c>
      <c r="AS35" s="21" t="str">
        <f>S35</f>
        <v>no</v>
      </c>
      <c r="AT35" s="21" t="str">
        <f>U35</f>
        <v>no</v>
      </c>
      <c r="AU35" s="21" t="str">
        <f>W35</f>
        <v>no</v>
      </c>
      <c r="AV35" s="21" t="str">
        <f>Y35</f>
        <v>n/a</v>
      </c>
      <c r="AW35" s="21" t="str">
        <f>AA35</f>
        <v>n/a</v>
      </c>
      <c r="AX35" s="21" t="str">
        <f>AC35</f>
        <v>no</v>
      </c>
      <c r="AY35" s="21" t="str">
        <f>AE35</f>
        <v>yes</v>
      </c>
      <c r="AZ35" s="21" t="str">
        <f>AG35</f>
        <v>n/a</v>
      </c>
      <c r="BA35" s="21" t="str">
        <f>AI35</f>
        <v>no</v>
      </c>
      <c r="BB35" s="21" t="s">
        <v>210</v>
      </c>
      <c r="BC35" s="5">
        <f>COUNTIF(AL35:BA35, "Yes")</f>
        <v>2</v>
      </c>
      <c r="BD35" s="5">
        <f>COUNTIF(AL35:BA35, "Partial")</f>
        <v>1</v>
      </c>
      <c r="BE35" s="5">
        <f>COUNTIF(AL35:BA35, "No")</f>
        <v>10</v>
      </c>
      <c r="BF35" s="5">
        <f>SUM(BC35+(BD35/2))</f>
        <v>2.5</v>
      </c>
      <c r="BG35" s="5">
        <f>SUM(BC35:BE35)</f>
        <v>13</v>
      </c>
      <c r="BH35" s="34">
        <f>SUM(BF35/BG35)*100</f>
        <v>19.230769230769234</v>
      </c>
    </row>
    <row r="36" spans="2:60">
      <c r="B36" s="6" t="s">
        <v>926</v>
      </c>
      <c r="C36" s="6">
        <v>2015</v>
      </c>
      <c r="D36" s="5" t="s">
        <v>927</v>
      </c>
      <c r="E36" s="5" t="s">
        <v>200</v>
      </c>
      <c r="F36" s="5" t="s">
        <v>1570</v>
      </c>
      <c r="G36" s="5" t="s">
        <v>210</v>
      </c>
      <c r="H36" s="5"/>
      <c r="I36" s="5" t="s">
        <v>200</v>
      </c>
      <c r="J36" s="5"/>
      <c r="K36" s="5" t="s">
        <v>1483</v>
      </c>
      <c r="L36" s="5"/>
      <c r="M36" s="5" t="s">
        <v>210</v>
      </c>
      <c r="N36" s="5" t="s">
        <v>1571</v>
      </c>
      <c r="O36" s="5" t="s">
        <v>210</v>
      </c>
      <c r="P36" s="5"/>
      <c r="Q36" s="5" t="s">
        <v>210</v>
      </c>
      <c r="R36" s="5"/>
      <c r="S36" s="5" t="s">
        <v>200</v>
      </c>
      <c r="T36" s="5"/>
      <c r="U36" s="5" t="s">
        <v>210</v>
      </c>
      <c r="V36" s="5" t="s">
        <v>1572</v>
      </c>
      <c r="W36" s="5" t="s">
        <v>210</v>
      </c>
      <c r="X36" s="5"/>
      <c r="Y36" s="5" t="s">
        <v>204</v>
      </c>
      <c r="Z36" s="5"/>
      <c r="AA36" s="5" t="s">
        <v>204</v>
      </c>
      <c r="AB36" s="5"/>
      <c r="AC36" s="5" t="s">
        <v>200</v>
      </c>
      <c r="AD36" s="5"/>
      <c r="AE36" s="5" t="s">
        <v>210</v>
      </c>
      <c r="AF36" s="5"/>
      <c r="AG36" s="5" t="s">
        <v>204</v>
      </c>
      <c r="AH36" s="5"/>
      <c r="AI36" s="5" t="s">
        <v>200</v>
      </c>
      <c r="AJ36" s="5"/>
      <c r="AK36" s="5" t="s">
        <v>1489</v>
      </c>
      <c r="AL36" s="21" t="str">
        <f>E36</f>
        <v>yes</v>
      </c>
      <c r="AM36" s="21" t="str">
        <f>G36</f>
        <v>no</v>
      </c>
      <c r="AN36" s="21" t="str">
        <f>I36</f>
        <v>yes</v>
      </c>
      <c r="AO36" s="21" t="str">
        <f>K36</f>
        <v>partial</v>
      </c>
      <c r="AP36" s="21" t="str">
        <f>M36</f>
        <v>no</v>
      </c>
      <c r="AQ36" s="21" t="str">
        <f>O36</f>
        <v>no</v>
      </c>
      <c r="AR36" s="21" t="str">
        <f>Q36</f>
        <v>no</v>
      </c>
      <c r="AS36" s="21" t="str">
        <f>S36</f>
        <v>yes</v>
      </c>
      <c r="AT36" s="21" t="str">
        <f>U36</f>
        <v>no</v>
      </c>
      <c r="AU36" s="21" t="str">
        <f>W36</f>
        <v>no</v>
      </c>
      <c r="AV36" s="21" t="str">
        <f>Y36</f>
        <v>n/a</v>
      </c>
      <c r="AW36" s="21" t="str">
        <f>AA36</f>
        <v>n/a</v>
      </c>
      <c r="AX36" s="21" t="str">
        <f>AC36</f>
        <v>yes</v>
      </c>
      <c r="AY36" s="21" t="str">
        <f>AE36</f>
        <v>no</v>
      </c>
      <c r="AZ36" s="21" t="str">
        <f>AG36</f>
        <v>n/a</v>
      </c>
      <c r="BA36" s="21" t="str">
        <f>AI36</f>
        <v>yes</v>
      </c>
      <c r="BB36" s="21" t="s">
        <v>210</v>
      </c>
      <c r="BC36" s="5">
        <f>COUNTIF(AL36:BA36, "Yes")</f>
        <v>5</v>
      </c>
      <c r="BD36" s="5">
        <f>COUNTIF(AL36:BA36, "Partial")</f>
        <v>1</v>
      </c>
      <c r="BE36" s="5">
        <f>COUNTIF(AL36:BA36, "No")</f>
        <v>7</v>
      </c>
      <c r="BF36" s="5">
        <f>SUM(BC36+(BD36/2))</f>
        <v>5.5</v>
      </c>
      <c r="BG36" s="5">
        <f>SUM(BC36:BE36)</f>
        <v>13</v>
      </c>
      <c r="BH36" s="34">
        <f>SUM(BF36/BG36)*100</f>
        <v>42.307692307692307</v>
      </c>
    </row>
    <row r="37" spans="2:60">
      <c r="B37" s="5" t="s">
        <v>957</v>
      </c>
      <c r="C37" s="5">
        <v>2020</v>
      </c>
      <c r="D37" s="5" t="s">
        <v>958</v>
      </c>
      <c r="E37" s="5" t="s">
        <v>210</v>
      </c>
      <c r="F37" s="5"/>
      <c r="G37" s="5" t="s">
        <v>210</v>
      </c>
      <c r="H37" s="5"/>
      <c r="I37" s="5" t="s">
        <v>210</v>
      </c>
      <c r="J37" s="5"/>
      <c r="K37" s="5" t="s">
        <v>1483</v>
      </c>
      <c r="L37" s="5"/>
      <c r="M37" s="5" t="s">
        <v>200</v>
      </c>
      <c r="N37" s="5"/>
      <c r="O37" s="5" t="s">
        <v>200</v>
      </c>
      <c r="P37" s="5"/>
      <c r="Q37" s="5" t="s">
        <v>210</v>
      </c>
      <c r="R37" s="5"/>
      <c r="S37" s="5" t="s">
        <v>210</v>
      </c>
      <c r="T37" s="5" t="s">
        <v>1573</v>
      </c>
      <c r="U37" s="5" t="s">
        <v>200</v>
      </c>
      <c r="V37" s="5"/>
      <c r="W37" s="5" t="s">
        <v>210</v>
      </c>
      <c r="X37" s="5"/>
      <c r="Y37" s="5" t="s">
        <v>204</v>
      </c>
      <c r="Z37" s="5"/>
      <c r="AA37" s="5" t="s">
        <v>204</v>
      </c>
      <c r="AB37" s="5"/>
      <c r="AC37" s="5" t="s">
        <v>210</v>
      </c>
      <c r="AD37" s="5"/>
      <c r="AE37" s="5" t="s">
        <v>200</v>
      </c>
      <c r="AF37" s="5"/>
      <c r="AG37" s="5" t="s">
        <v>204</v>
      </c>
      <c r="AH37" s="5"/>
      <c r="AI37" s="5" t="s">
        <v>200</v>
      </c>
      <c r="AJ37" s="5"/>
      <c r="AK37" s="5" t="s">
        <v>1489</v>
      </c>
      <c r="AL37" s="21" t="str">
        <f>E37</f>
        <v>no</v>
      </c>
      <c r="AM37" s="21" t="str">
        <f>G37</f>
        <v>no</v>
      </c>
      <c r="AN37" s="21" t="str">
        <f>I37</f>
        <v>no</v>
      </c>
      <c r="AO37" s="21" t="str">
        <f>K37</f>
        <v>partial</v>
      </c>
      <c r="AP37" s="21" t="str">
        <f>M37</f>
        <v>yes</v>
      </c>
      <c r="AQ37" s="21" t="str">
        <f>O37</f>
        <v>yes</v>
      </c>
      <c r="AR37" s="21" t="str">
        <f>Q37</f>
        <v>no</v>
      </c>
      <c r="AS37" s="21" t="str">
        <f>S37</f>
        <v>no</v>
      </c>
      <c r="AT37" s="21" t="str">
        <f>U37</f>
        <v>yes</v>
      </c>
      <c r="AU37" s="21" t="str">
        <f>W37</f>
        <v>no</v>
      </c>
      <c r="AV37" s="21" t="str">
        <f>Y37</f>
        <v>n/a</v>
      </c>
      <c r="AW37" s="21" t="str">
        <f>AA37</f>
        <v>n/a</v>
      </c>
      <c r="AX37" s="21" t="str">
        <f>AC37</f>
        <v>no</v>
      </c>
      <c r="AY37" s="21" t="str">
        <f>AE37</f>
        <v>yes</v>
      </c>
      <c r="AZ37" s="21" t="str">
        <f>AG37</f>
        <v>n/a</v>
      </c>
      <c r="BA37" s="21" t="str">
        <f>AI37</f>
        <v>yes</v>
      </c>
      <c r="BB37" s="21" t="s">
        <v>210</v>
      </c>
      <c r="BC37" s="5">
        <f>COUNTIF(AL37:BA37, "Yes")</f>
        <v>5</v>
      </c>
      <c r="BD37" s="5">
        <f>COUNTIF(AL37:BA37, "Partial")</f>
        <v>1</v>
      </c>
      <c r="BE37" s="5">
        <f>COUNTIF(AL37:BA37, "No")</f>
        <v>7</v>
      </c>
      <c r="BF37" s="5">
        <f>SUM(BC37+(BD37/2))</f>
        <v>5.5</v>
      </c>
      <c r="BG37" s="5">
        <f>SUM(BC37:BE37)</f>
        <v>13</v>
      </c>
      <c r="BH37" s="34">
        <f>SUM(BF37/BG37)*100</f>
        <v>42.307692307692307</v>
      </c>
    </row>
    <row r="38" spans="2:60">
      <c r="B38" s="5" t="s">
        <v>978</v>
      </c>
      <c r="C38" s="5">
        <v>2019</v>
      </c>
      <c r="D38" s="5" t="s">
        <v>979</v>
      </c>
      <c r="E38" s="5" t="s">
        <v>210</v>
      </c>
      <c r="F38" s="5" t="s">
        <v>1574</v>
      </c>
      <c r="G38" s="5" t="s">
        <v>210</v>
      </c>
      <c r="H38" s="5"/>
      <c r="I38" s="5" t="s">
        <v>210</v>
      </c>
      <c r="J38" s="5"/>
      <c r="K38" s="5" t="s">
        <v>1483</v>
      </c>
      <c r="L38" s="5"/>
      <c r="M38" s="5" t="s">
        <v>210</v>
      </c>
      <c r="N38" s="5"/>
      <c r="O38" s="5" t="s">
        <v>210</v>
      </c>
      <c r="P38" s="5"/>
      <c r="Q38" s="5" t="s">
        <v>210</v>
      </c>
      <c r="R38" s="5" t="s">
        <v>1506</v>
      </c>
      <c r="S38" s="5" t="s">
        <v>210</v>
      </c>
      <c r="T38" s="5" t="s">
        <v>1575</v>
      </c>
      <c r="U38" s="5" t="s">
        <v>210</v>
      </c>
      <c r="V38" s="5" t="s">
        <v>1576</v>
      </c>
      <c r="W38" s="5" t="s">
        <v>210</v>
      </c>
      <c r="X38" s="5"/>
      <c r="Y38" s="5" t="s">
        <v>204</v>
      </c>
      <c r="Z38" s="5"/>
      <c r="AA38" s="5" t="s">
        <v>204</v>
      </c>
      <c r="AB38" s="5"/>
      <c r="AC38" s="5" t="s">
        <v>210</v>
      </c>
      <c r="AD38" s="5"/>
      <c r="AE38" s="5" t="s">
        <v>210</v>
      </c>
      <c r="AF38" s="5"/>
      <c r="AG38" s="5" t="s">
        <v>204</v>
      </c>
      <c r="AH38" s="5"/>
      <c r="AI38" s="5" t="s">
        <v>200</v>
      </c>
      <c r="AJ38" s="5" t="s">
        <v>1526</v>
      </c>
      <c r="AK38" s="5"/>
      <c r="AL38" s="21" t="str">
        <f>E38</f>
        <v>no</v>
      </c>
      <c r="AM38" s="21" t="str">
        <f>G38</f>
        <v>no</v>
      </c>
      <c r="AN38" s="21" t="str">
        <f>I38</f>
        <v>no</v>
      </c>
      <c r="AO38" s="21" t="str">
        <f>K38</f>
        <v>partial</v>
      </c>
      <c r="AP38" s="21" t="str">
        <f>M38</f>
        <v>no</v>
      </c>
      <c r="AQ38" s="21" t="str">
        <f>O38</f>
        <v>no</v>
      </c>
      <c r="AR38" s="21" t="str">
        <f>Q38</f>
        <v>no</v>
      </c>
      <c r="AS38" s="21" t="str">
        <f>S38</f>
        <v>no</v>
      </c>
      <c r="AT38" s="21" t="str">
        <f>U38</f>
        <v>no</v>
      </c>
      <c r="AU38" s="21" t="str">
        <f>W38</f>
        <v>no</v>
      </c>
      <c r="AV38" s="21" t="str">
        <f>Y38</f>
        <v>n/a</v>
      </c>
      <c r="AW38" s="21" t="str">
        <f>AA38</f>
        <v>n/a</v>
      </c>
      <c r="AX38" s="21" t="str">
        <f>AC38</f>
        <v>no</v>
      </c>
      <c r="AY38" s="21" t="str">
        <f>AE38</f>
        <v>no</v>
      </c>
      <c r="AZ38" s="21" t="str">
        <f>AG38</f>
        <v>n/a</v>
      </c>
      <c r="BA38" s="21" t="str">
        <f>AI38</f>
        <v>yes</v>
      </c>
      <c r="BB38" s="21" t="s">
        <v>210</v>
      </c>
      <c r="BC38" s="5">
        <f>COUNTIF(AL38:BA38, "Yes")</f>
        <v>1</v>
      </c>
      <c r="BD38" s="5">
        <f>COUNTIF(AL38:BA38, "Partial")</f>
        <v>1</v>
      </c>
      <c r="BE38" s="5">
        <f>COUNTIF(AL38:BA38, "No")</f>
        <v>11</v>
      </c>
      <c r="BF38" s="5">
        <f>SUM(BC38+(BD38/2))</f>
        <v>1.5</v>
      </c>
      <c r="BG38" s="5">
        <f>SUM(BC38:BE38)</f>
        <v>13</v>
      </c>
      <c r="BH38" s="34">
        <f>SUM(BF38/BG38)*100</f>
        <v>11.538461538461538</v>
      </c>
    </row>
    <row r="39" spans="2:60">
      <c r="B39" s="5" t="s">
        <v>992</v>
      </c>
      <c r="C39" s="5">
        <v>2012</v>
      </c>
      <c r="D39" s="5" t="s">
        <v>993</v>
      </c>
      <c r="E39" s="5" t="s">
        <v>210</v>
      </c>
      <c r="F39" s="5" t="s">
        <v>1574</v>
      </c>
      <c r="G39" s="5" t="s">
        <v>210</v>
      </c>
      <c r="H39" s="5"/>
      <c r="I39" s="5" t="s">
        <v>200</v>
      </c>
      <c r="J39" s="5"/>
      <c r="K39" s="5" t="s">
        <v>1483</v>
      </c>
      <c r="L39" s="5"/>
      <c r="M39" s="5" t="s">
        <v>210</v>
      </c>
      <c r="N39" s="5"/>
      <c r="O39" s="5" t="s">
        <v>200</v>
      </c>
      <c r="P39" s="5"/>
      <c r="Q39" s="5" t="s">
        <v>210</v>
      </c>
      <c r="R39" s="5"/>
      <c r="S39" s="5" t="s">
        <v>210</v>
      </c>
      <c r="T39" s="5" t="s">
        <v>1577</v>
      </c>
      <c r="U39" s="5" t="s">
        <v>210</v>
      </c>
      <c r="V39" s="5" t="s">
        <v>1578</v>
      </c>
      <c r="W39" s="5" t="s">
        <v>210</v>
      </c>
      <c r="X39" s="5"/>
      <c r="Y39" s="5" t="s">
        <v>204</v>
      </c>
      <c r="Z39" s="5"/>
      <c r="AA39" s="5" t="s">
        <v>204</v>
      </c>
      <c r="AB39" s="5"/>
      <c r="AC39" s="5" t="s">
        <v>200</v>
      </c>
      <c r="AD39" s="5"/>
      <c r="AE39" s="5" t="s">
        <v>210</v>
      </c>
      <c r="AF39" s="5"/>
      <c r="AG39" s="5" t="s">
        <v>204</v>
      </c>
      <c r="AH39" s="5"/>
      <c r="AI39" s="5" t="s">
        <v>210</v>
      </c>
      <c r="AJ39" s="5"/>
      <c r="AK39" s="5" t="s">
        <v>1489</v>
      </c>
      <c r="AL39" s="21" t="str">
        <f>E39</f>
        <v>no</v>
      </c>
      <c r="AM39" s="21" t="str">
        <f>G39</f>
        <v>no</v>
      </c>
      <c r="AN39" s="21" t="str">
        <f>I39</f>
        <v>yes</v>
      </c>
      <c r="AO39" s="21" t="str">
        <f>K39</f>
        <v>partial</v>
      </c>
      <c r="AP39" s="21" t="str">
        <f>M39</f>
        <v>no</v>
      </c>
      <c r="AQ39" s="21" t="str">
        <f>O39</f>
        <v>yes</v>
      </c>
      <c r="AR39" s="21" t="str">
        <f>Q39</f>
        <v>no</v>
      </c>
      <c r="AS39" s="21" t="str">
        <f>S39</f>
        <v>no</v>
      </c>
      <c r="AT39" s="21" t="str">
        <f>U39</f>
        <v>no</v>
      </c>
      <c r="AU39" s="21" t="str">
        <f>W39</f>
        <v>no</v>
      </c>
      <c r="AV39" s="21" t="str">
        <f>Y39</f>
        <v>n/a</v>
      </c>
      <c r="AW39" s="21" t="str">
        <f>AA39</f>
        <v>n/a</v>
      </c>
      <c r="AX39" s="21" t="str">
        <f>AC39</f>
        <v>yes</v>
      </c>
      <c r="AY39" s="21" t="str">
        <f>AE39</f>
        <v>no</v>
      </c>
      <c r="AZ39" s="21" t="str">
        <f>AG39</f>
        <v>n/a</v>
      </c>
      <c r="BA39" s="21" t="str">
        <f>AI39</f>
        <v>no</v>
      </c>
      <c r="BB39" s="21" t="s">
        <v>210</v>
      </c>
      <c r="BC39" s="5">
        <f>COUNTIF(AL39:BA39, "Yes")</f>
        <v>3</v>
      </c>
      <c r="BD39" s="5">
        <f>COUNTIF(AL39:BA39, "Partial")</f>
        <v>1</v>
      </c>
      <c r="BE39" s="5">
        <f>COUNTIF(AL39:BA39, "No")</f>
        <v>9</v>
      </c>
      <c r="BF39" s="5">
        <f>SUM(BC39+(BD39/2))</f>
        <v>3.5</v>
      </c>
      <c r="BG39" s="5">
        <f>SUM(BC39:BE39)</f>
        <v>13</v>
      </c>
      <c r="BH39" s="34">
        <f>SUM(BF39/BG39)*100</f>
        <v>26.923076923076923</v>
      </c>
    </row>
    <row r="40" spans="2:60">
      <c r="B40" s="5" t="s">
        <v>1008</v>
      </c>
      <c r="C40" s="5">
        <v>2020</v>
      </c>
      <c r="D40" s="5" t="s">
        <v>1009</v>
      </c>
      <c r="E40" s="5" t="s">
        <v>210</v>
      </c>
      <c r="F40" s="5" t="s">
        <v>1579</v>
      </c>
      <c r="G40" s="5" t="s">
        <v>210</v>
      </c>
      <c r="H40" s="5" t="s">
        <v>1580</v>
      </c>
      <c r="I40" s="5" t="s">
        <v>210</v>
      </c>
      <c r="J40" s="5" t="s">
        <v>1581</v>
      </c>
      <c r="K40" s="5" t="s">
        <v>1483</v>
      </c>
      <c r="L40" s="5"/>
      <c r="M40" s="5" t="s">
        <v>210</v>
      </c>
      <c r="N40" s="5" t="s">
        <v>1582</v>
      </c>
      <c r="O40" s="5" t="s">
        <v>210</v>
      </c>
      <c r="P40" s="5" t="s">
        <v>1583</v>
      </c>
      <c r="Q40" s="5" t="s">
        <v>210</v>
      </c>
      <c r="R40" s="5" t="s">
        <v>1506</v>
      </c>
      <c r="S40" s="5" t="s">
        <v>210</v>
      </c>
      <c r="T40" s="5" t="s">
        <v>1584</v>
      </c>
      <c r="U40" s="5" t="s">
        <v>210</v>
      </c>
      <c r="V40" s="5" t="s">
        <v>1585</v>
      </c>
      <c r="W40" s="5" t="s">
        <v>210</v>
      </c>
      <c r="X40" s="5"/>
      <c r="Y40" s="5" t="s">
        <v>204</v>
      </c>
      <c r="Z40" s="5" t="s">
        <v>204</v>
      </c>
      <c r="AA40" s="5" t="s">
        <v>204</v>
      </c>
      <c r="AB40" s="5" t="s">
        <v>204</v>
      </c>
      <c r="AC40" s="5" t="s">
        <v>200</v>
      </c>
      <c r="AD40" s="5" t="s">
        <v>1379</v>
      </c>
      <c r="AE40" s="5" t="s">
        <v>200</v>
      </c>
      <c r="AF40" s="5"/>
      <c r="AG40" s="5" t="s">
        <v>204</v>
      </c>
      <c r="AH40" s="5"/>
      <c r="AI40" s="5" t="s">
        <v>200</v>
      </c>
      <c r="AJ40" s="5"/>
      <c r="AK40" s="5"/>
      <c r="AL40" s="21" t="str">
        <f>E40</f>
        <v>no</v>
      </c>
      <c r="AM40" s="21" t="str">
        <f>G40</f>
        <v>no</v>
      </c>
      <c r="AN40" s="21" t="str">
        <f>I40</f>
        <v>no</v>
      </c>
      <c r="AO40" s="21" t="str">
        <f>K40</f>
        <v>partial</v>
      </c>
      <c r="AP40" s="21" t="str">
        <f>M40</f>
        <v>no</v>
      </c>
      <c r="AQ40" s="21" t="str">
        <f>O40</f>
        <v>no</v>
      </c>
      <c r="AR40" s="21" t="str">
        <f>Q40</f>
        <v>no</v>
      </c>
      <c r="AS40" s="21" t="str">
        <f>S40</f>
        <v>no</v>
      </c>
      <c r="AT40" s="21" t="str">
        <f>U40</f>
        <v>no</v>
      </c>
      <c r="AU40" s="21" t="str">
        <f>W40</f>
        <v>no</v>
      </c>
      <c r="AV40" s="21" t="str">
        <f>Y40</f>
        <v>n/a</v>
      </c>
      <c r="AW40" s="21" t="str">
        <f>AA40</f>
        <v>n/a</v>
      </c>
      <c r="AX40" s="21" t="str">
        <f>AC40</f>
        <v>yes</v>
      </c>
      <c r="AY40" s="21" t="str">
        <f>AE40</f>
        <v>yes</v>
      </c>
      <c r="AZ40" s="21" t="str">
        <f>AG40</f>
        <v>n/a</v>
      </c>
      <c r="BA40" s="21" t="str">
        <f>AI40</f>
        <v>yes</v>
      </c>
      <c r="BB40" s="21" t="s">
        <v>210</v>
      </c>
      <c r="BC40" s="5">
        <f>COUNTIF(AL40:BA40, "Yes")</f>
        <v>3</v>
      </c>
      <c r="BD40" s="5">
        <f>COUNTIF(AL40:BA40, "Partial")</f>
        <v>1</v>
      </c>
      <c r="BE40" s="5">
        <f>COUNTIF(AL40:BA40, "No")</f>
        <v>9</v>
      </c>
      <c r="BF40" s="5">
        <f>SUM(BC40+(BD40/2))</f>
        <v>3.5</v>
      </c>
      <c r="BG40" s="5">
        <f>SUM(BC40:BE40)</f>
        <v>13</v>
      </c>
      <c r="BH40" s="34">
        <f>SUM(BF40/BG40)*100</f>
        <v>26.923076923076923</v>
      </c>
    </row>
    <row r="41" spans="2:60">
      <c r="B41" s="5" t="s">
        <v>1030</v>
      </c>
      <c r="C41" s="5">
        <v>2018</v>
      </c>
      <c r="D41" s="5" t="s">
        <v>1031</v>
      </c>
      <c r="E41" s="5" t="s">
        <v>200</v>
      </c>
      <c r="F41" s="5"/>
      <c r="G41" s="5" t="s">
        <v>210</v>
      </c>
      <c r="H41" s="5"/>
      <c r="I41" s="5" t="s">
        <v>210</v>
      </c>
      <c r="J41" s="5" t="s">
        <v>1586</v>
      </c>
      <c r="K41" s="5" t="s">
        <v>1483</v>
      </c>
      <c r="L41" s="5"/>
      <c r="M41" s="5" t="s">
        <v>210</v>
      </c>
      <c r="N41" s="5"/>
      <c r="O41" s="5" t="s">
        <v>210</v>
      </c>
      <c r="P41" s="5"/>
      <c r="Q41" s="5" t="s">
        <v>210</v>
      </c>
      <c r="R41" s="5" t="s">
        <v>1506</v>
      </c>
      <c r="S41" s="5" t="s">
        <v>200</v>
      </c>
      <c r="T41" s="5"/>
      <c r="U41" s="5" t="s">
        <v>200</v>
      </c>
      <c r="V41" s="5"/>
      <c r="W41" s="5" t="s">
        <v>210</v>
      </c>
      <c r="X41" s="5"/>
      <c r="Y41" s="5" t="s">
        <v>204</v>
      </c>
      <c r="Z41" s="5"/>
      <c r="AA41" s="5" t="s">
        <v>204</v>
      </c>
      <c r="AB41" s="5"/>
      <c r="AC41" s="5" t="s">
        <v>200</v>
      </c>
      <c r="AD41" s="5"/>
      <c r="AE41" s="5" t="s">
        <v>204</v>
      </c>
      <c r="AF41" s="5"/>
      <c r="AG41" s="5" t="s">
        <v>204</v>
      </c>
      <c r="AH41" s="5"/>
      <c r="AI41" s="5" t="s">
        <v>200</v>
      </c>
      <c r="AJ41" s="5"/>
      <c r="AK41" s="5" t="s">
        <v>1489</v>
      </c>
      <c r="AL41" s="21" t="str">
        <f>E41</f>
        <v>yes</v>
      </c>
      <c r="AM41" s="21" t="str">
        <f>G41</f>
        <v>no</v>
      </c>
      <c r="AN41" s="21" t="str">
        <f>I41</f>
        <v>no</v>
      </c>
      <c r="AO41" s="21" t="str">
        <f>K41</f>
        <v>partial</v>
      </c>
      <c r="AP41" s="21" t="str">
        <f>M41</f>
        <v>no</v>
      </c>
      <c r="AQ41" s="21" t="str">
        <f>O41</f>
        <v>no</v>
      </c>
      <c r="AR41" s="21" t="str">
        <f>Q41</f>
        <v>no</v>
      </c>
      <c r="AS41" s="21" t="str">
        <f>S41</f>
        <v>yes</v>
      </c>
      <c r="AT41" s="21" t="str">
        <f>U41</f>
        <v>yes</v>
      </c>
      <c r="AU41" s="21" t="str">
        <f>W41</f>
        <v>no</v>
      </c>
      <c r="AV41" s="21" t="str">
        <f>Y41</f>
        <v>n/a</v>
      </c>
      <c r="AW41" s="21" t="str">
        <f>AA41</f>
        <v>n/a</v>
      </c>
      <c r="AX41" s="21" t="str">
        <f>AC41</f>
        <v>yes</v>
      </c>
      <c r="AY41" s="21" t="str">
        <f>AE41</f>
        <v>n/a</v>
      </c>
      <c r="AZ41" s="21" t="str">
        <f>AG41</f>
        <v>n/a</v>
      </c>
      <c r="BA41" s="21" t="str">
        <f>AI41</f>
        <v>yes</v>
      </c>
      <c r="BB41" s="21" t="s">
        <v>200</v>
      </c>
      <c r="BC41" s="5">
        <f>COUNTIF(AL41:BA41, "Yes")</f>
        <v>5</v>
      </c>
      <c r="BD41" s="5">
        <f>COUNTIF(AL41:BA41, "Partial")</f>
        <v>1</v>
      </c>
      <c r="BE41" s="5">
        <f>COUNTIF(AL41:BA41, "No")</f>
        <v>6</v>
      </c>
      <c r="BF41" s="5">
        <f>SUM(BC41+(BD41/2))</f>
        <v>5.5</v>
      </c>
      <c r="BG41" s="5">
        <f>SUM(BC41:BE41)</f>
        <v>12</v>
      </c>
      <c r="BH41" s="34">
        <f>SUM(BF41/BG41)*100</f>
        <v>45.833333333333329</v>
      </c>
    </row>
    <row r="42" spans="2:60">
      <c r="B42" s="5" t="s">
        <v>1045</v>
      </c>
      <c r="C42" s="5">
        <v>2019</v>
      </c>
      <c r="D42" s="5" t="s">
        <v>1046</v>
      </c>
      <c r="E42" s="5" t="s">
        <v>200</v>
      </c>
      <c r="F42" s="5" t="s">
        <v>1587</v>
      </c>
      <c r="G42" s="5" t="s">
        <v>210</v>
      </c>
      <c r="H42" s="5"/>
      <c r="I42" s="5" t="s">
        <v>210</v>
      </c>
      <c r="J42" s="5"/>
      <c r="K42" s="5" t="s">
        <v>1483</v>
      </c>
      <c r="L42" s="5"/>
      <c r="M42" s="5" t="s">
        <v>200</v>
      </c>
      <c r="N42" s="5"/>
      <c r="O42" s="5" t="s">
        <v>200</v>
      </c>
      <c r="P42" s="5"/>
      <c r="Q42" s="5" t="s">
        <v>210</v>
      </c>
      <c r="R42" s="5"/>
      <c r="S42" s="5" t="s">
        <v>200</v>
      </c>
      <c r="T42" s="5"/>
      <c r="U42" s="5" t="s">
        <v>200</v>
      </c>
      <c r="V42" s="5"/>
      <c r="W42" s="5" t="s">
        <v>210</v>
      </c>
      <c r="X42" s="5"/>
      <c r="Y42" s="5" t="s">
        <v>204</v>
      </c>
      <c r="Z42" s="5"/>
      <c r="AA42" s="5" t="s">
        <v>204</v>
      </c>
      <c r="AB42" s="5"/>
      <c r="AC42" s="5" t="s">
        <v>210</v>
      </c>
      <c r="AD42" s="5"/>
      <c r="AE42" s="5" t="s">
        <v>210</v>
      </c>
      <c r="AF42" s="5"/>
      <c r="AG42" s="5" t="s">
        <v>204</v>
      </c>
      <c r="AH42" s="5"/>
      <c r="AI42" s="5" t="s">
        <v>210</v>
      </c>
      <c r="AJ42" s="5"/>
      <c r="AK42" s="5" t="s">
        <v>1489</v>
      </c>
      <c r="AL42" s="21" t="str">
        <f>E42</f>
        <v>yes</v>
      </c>
      <c r="AM42" s="21" t="str">
        <f>G42</f>
        <v>no</v>
      </c>
      <c r="AN42" s="21" t="str">
        <f>I42</f>
        <v>no</v>
      </c>
      <c r="AO42" s="21" t="str">
        <f>K42</f>
        <v>partial</v>
      </c>
      <c r="AP42" s="21" t="str">
        <f>M42</f>
        <v>yes</v>
      </c>
      <c r="AQ42" s="21" t="str">
        <f>O42</f>
        <v>yes</v>
      </c>
      <c r="AR42" s="21" t="str">
        <f>Q42</f>
        <v>no</v>
      </c>
      <c r="AS42" s="21" t="str">
        <f>S42</f>
        <v>yes</v>
      </c>
      <c r="AT42" s="21" t="str">
        <f>U42</f>
        <v>yes</v>
      </c>
      <c r="AU42" s="21" t="str">
        <f>W42</f>
        <v>no</v>
      </c>
      <c r="AV42" s="21" t="str">
        <f>Y42</f>
        <v>n/a</v>
      </c>
      <c r="AW42" s="21" t="str">
        <f>AA42</f>
        <v>n/a</v>
      </c>
      <c r="AX42" s="21" t="str">
        <f>AC42</f>
        <v>no</v>
      </c>
      <c r="AY42" s="21" t="str">
        <f>AE42</f>
        <v>no</v>
      </c>
      <c r="AZ42" s="21" t="str">
        <f>AG42</f>
        <v>n/a</v>
      </c>
      <c r="BA42" s="21" t="str">
        <f>AI42</f>
        <v>no</v>
      </c>
      <c r="BB42" s="21" t="s">
        <v>210</v>
      </c>
      <c r="BC42" s="5">
        <f>COUNTIF(AL42:BA42, "Yes")</f>
        <v>5</v>
      </c>
      <c r="BD42" s="5">
        <f>COUNTIF(AL42:BA42, "Partial")</f>
        <v>1</v>
      </c>
      <c r="BE42" s="5">
        <f>COUNTIF(AL42:BA42, "No")</f>
        <v>7</v>
      </c>
      <c r="BF42" s="5">
        <f>SUM(BC42+(BD42/2))</f>
        <v>5.5</v>
      </c>
      <c r="BG42" s="5">
        <f>SUM(BC42:BE42)</f>
        <v>13</v>
      </c>
      <c r="BH42" s="34">
        <f>SUM(BF42/BG42)*100</f>
        <v>42.307692307692307</v>
      </c>
    </row>
    <row r="43" spans="2:60">
      <c r="B43" s="5" t="s">
        <v>1068</v>
      </c>
      <c r="C43" s="5">
        <v>2020</v>
      </c>
      <c r="D43" s="5" t="s">
        <v>1069</v>
      </c>
      <c r="E43" s="5" t="s">
        <v>200</v>
      </c>
      <c r="F43" s="5" t="s">
        <v>1587</v>
      </c>
      <c r="G43" s="5" t="s">
        <v>200</v>
      </c>
      <c r="H43" s="5" t="s">
        <v>1588</v>
      </c>
      <c r="I43" s="5" t="s">
        <v>200</v>
      </c>
      <c r="J43" s="5"/>
      <c r="K43" s="5" t="s">
        <v>1483</v>
      </c>
      <c r="L43" s="5"/>
      <c r="M43" s="5" t="s">
        <v>210</v>
      </c>
      <c r="N43" s="5" t="s">
        <v>1589</v>
      </c>
      <c r="O43" s="5" t="s">
        <v>210</v>
      </c>
      <c r="P43" s="5"/>
      <c r="Q43" s="5" t="s">
        <v>210</v>
      </c>
      <c r="R43" s="5"/>
      <c r="S43" s="5" t="s">
        <v>200</v>
      </c>
      <c r="T43" s="5"/>
      <c r="U43" s="5" t="s">
        <v>200</v>
      </c>
      <c r="V43" s="5"/>
      <c r="W43" s="5" t="s">
        <v>210</v>
      </c>
      <c r="X43" s="5"/>
      <c r="Y43" s="5" t="s">
        <v>200</v>
      </c>
      <c r="Z43" s="5"/>
      <c r="AA43" s="5" t="s">
        <v>200</v>
      </c>
      <c r="AB43" s="5"/>
      <c r="AC43" s="5" t="s">
        <v>200</v>
      </c>
      <c r="AD43" s="5"/>
      <c r="AE43" s="5" t="s">
        <v>200</v>
      </c>
      <c r="AF43" s="5"/>
      <c r="AG43" s="5" t="s">
        <v>210</v>
      </c>
      <c r="AH43" s="5"/>
      <c r="AI43" s="5" t="s">
        <v>200</v>
      </c>
      <c r="AJ43" s="5"/>
      <c r="AK43" s="5" t="s">
        <v>1489</v>
      </c>
      <c r="AL43" s="21" t="str">
        <f>E43</f>
        <v>yes</v>
      </c>
      <c r="AM43" s="21" t="str">
        <f>G43</f>
        <v>yes</v>
      </c>
      <c r="AN43" s="21" t="str">
        <f>I43</f>
        <v>yes</v>
      </c>
      <c r="AO43" s="21" t="str">
        <f>K43</f>
        <v>partial</v>
      </c>
      <c r="AP43" s="21" t="str">
        <f>M43</f>
        <v>no</v>
      </c>
      <c r="AQ43" s="21" t="str">
        <f>O43</f>
        <v>no</v>
      </c>
      <c r="AR43" s="21" t="str">
        <f>Q43</f>
        <v>no</v>
      </c>
      <c r="AS43" s="21" t="str">
        <f>S43</f>
        <v>yes</v>
      </c>
      <c r="AT43" s="21" t="str">
        <f>U43</f>
        <v>yes</v>
      </c>
      <c r="AU43" s="21" t="str">
        <f>W43</f>
        <v>no</v>
      </c>
      <c r="AV43" s="21" t="str">
        <f>Y43</f>
        <v>yes</v>
      </c>
      <c r="AW43" s="21" t="str">
        <f>AA43</f>
        <v>yes</v>
      </c>
      <c r="AX43" s="21" t="str">
        <f>AC43</f>
        <v>yes</v>
      </c>
      <c r="AY43" s="21" t="str">
        <f>AE43</f>
        <v>yes</v>
      </c>
      <c r="AZ43" s="21" t="str">
        <f>AG43</f>
        <v>no</v>
      </c>
      <c r="BA43" s="21" t="str">
        <f>AI43</f>
        <v>yes</v>
      </c>
      <c r="BB43" s="21" t="s">
        <v>200</v>
      </c>
      <c r="BC43" s="5">
        <f>COUNTIF(AL43:BA43, "Yes")</f>
        <v>10</v>
      </c>
      <c r="BD43" s="5">
        <f>COUNTIF(AL43:BA43, "Partial")</f>
        <v>1</v>
      </c>
      <c r="BE43" s="5">
        <f>COUNTIF(AL43:BA43, "No")</f>
        <v>5</v>
      </c>
      <c r="BF43" s="5">
        <f>SUM(BC43+(BD43/2))</f>
        <v>10.5</v>
      </c>
      <c r="BG43" s="5">
        <f>SUM(BC43:BE43)</f>
        <v>16</v>
      </c>
      <c r="BH43" s="34">
        <f>SUM(BF43/BG43)*100</f>
        <v>65.625</v>
      </c>
    </row>
    <row r="44" spans="2:60">
      <c r="B44" s="5" t="s">
        <v>1088</v>
      </c>
      <c r="C44" s="5">
        <v>2016</v>
      </c>
      <c r="D44" s="5" t="s">
        <v>1089</v>
      </c>
      <c r="E44" s="5" t="s">
        <v>210</v>
      </c>
      <c r="F44" s="5" t="s">
        <v>1590</v>
      </c>
      <c r="G44" s="5" t="s">
        <v>210</v>
      </c>
      <c r="H44" s="5"/>
      <c r="I44" s="5" t="s">
        <v>210</v>
      </c>
      <c r="J44" s="5"/>
      <c r="K44" s="5" t="s">
        <v>1483</v>
      </c>
      <c r="L44" s="5" t="s">
        <v>1591</v>
      </c>
      <c r="M44" s="5" t="s">
        <v>210</v>
      </c>
      <c r="N44" s="5" t="s">
        <v>1592</v>
      </c>
      <c r="O44" s="5" t="s">
        <v>210</v>
      </c>
      <c r="P44" s="5" t="s">
        <v>1593</v>
      </c>
      <c r="Q44" s="5" t="s">
        <v>210</v>
      </c>
      <c r="R44" s="5" t="s">
        <v>1506</v>
      </c>
      <c r="S44" s="5" t="s">
        <v>210</v>
      </c>
      <c r="T44" s="5"/>
      <c r="U44" s="5" t="s">
        <v>1483</v>
      </c>
      <c r="V44" s="5" t="s">
        <v>1594</v>
      </c>
      <c r="W44" s="5" t="s">
        <v>210</v>
      </c>
      <c r="X44" s="5"/>
      <c r="Y44" s="5" t="s">
        <v>204</v>
      </c>
      <c r="Z44" s="5"/>
      <c r="AA44" s="5" t="s">
        <v>204</v>
      </c>
      <c r="AB44" s="5"/>
      <c r="AC44" s="5" t="s">
        <v>210</v>
      </c>
      <c r="AD44" s="5"/>
      <c r="AE44" s="5" t="s">
        <v>210</v>
      </c>
      <c r="AF44" s="5"/>
      <c r="AG44" s="5" t="s">
        <v>204</v>
      </c>
      <c r="AH44" s="5"/>
      <c r="AI44" s="5" t="s">
        <v>200</v>
      </c>
      <c r="AJ44" s="5" t="s">
        <v>1526</v>
      </c>
      <c r="AK44" s="5" t="s">
        <v>1489</v>
      </c>
      <c r="AL44" s="21" t="str">
        <f>E44</f>
        <v>no</v>
      </c>
      <c r="AM44" s="21" t="str">
        <f>G44</f>
        <v>no</v>
      </c>
      <c r="AN44" s="21" t="str">
        <f>I44</f>
        <v>no</v>
      </c>
      <c r="AO44" s="21" t="str">
        <f>K44</f>
        <v>partial</v>
      </c>
      <c r="AP44" s="21" t="str">
        <f>M44</f>
        <v>no</v>
      </c>
      <c r="AQ44" s="21" t="str">
        <f>O44</f>
        <v>no</v>
      </c>
      <c r="AR44" s="21" t="str">
        <f>Q44</f>
        <v>no</v>
      </c>
      <c r="AS44" s="21" t="str">
        <f>S44</f>
        <v>no</v>
      </c>
      <c r="AT44" s="21" t="str">
        <f>U44</f>
        <v>partial</v>
      </c>
      <c r="AU44" s="21" t="str">
        <f>W44</f>
        <v>no</v>
      </c>
      <c r="AV44" s="21" t="str">
        <f>Y44</f>
        <v>n/a</v>
      </c>
      <c r="AW44" s="21" t="str">
        <f>AA44</f>
        <v>n/a</v>
      </c>
      <c r="AX44" s="21" t="str">
        <f>AC44</f>
        <v>no</v>
      </c>
      <c r="AY44" s="21" t="str">
        <f>AE44</f>
        <v>no</v>
      </c>
      <c r="AZ44" s="21" t="str">
        <f>AG44</f>
        <v>n/a</v>
      </c>
      <c r="BA44" s="21" t="str">
        <f>AI44</f>
        <v>yes</v>
      </c>
      <c r="BB44" s="21" t="s">
        <v>210</v>
      </c>
      <c r="BC44" s="5">
        <f>COUNTIF(AL44:BA44, "Yes")</f>
        <v>1</v>
      </c>
      <c r="BD44" s="5">
        <f>COUNTIF(AL44:BA44, "Partial")</f>
        <v>2</v>
      </c>
      <c r="BE44" s="5">
        <f>COUNTIF(AL44:BA44, "No")</f>
        <v>10</v>
      </c>
      <c r="BF44" s="5">
        <f>SUM(BC44+(BD44/2))</f>
        <v>2</v>
      </c>
      <c r="BG44" s="5">
        <f>SUM(BC44:BE44)</f>
        <v>13</v>
      </c>
      <c r="BH44" s="34">
        <f>SUM(BF44/BG44)*100</f>
        <v>15.384615384615385</v>
      </c>
    </row>
    <row r="45" spans="2:60">
      <c r="B45" s="5" t="s">
        <v>1113</v>
      </c>
      <c r="C45" s="5">
        <v>2019</v>
      </c>
      <c r="D45" s="5" t="s">
        <v>1114</v>
      </c>
      <c r="E45" s="5" t="s">
        <v>200</v>
      </c>
      <c r="F45" s="5" t="s">
        <v>540</v>
      </c>
      <c r="G45" s="5" t="s">
        <v>203</v>
      </c>
      <c r="H45" s="5"/>
      <c r="I45" s="5" t="s">
        <v>200</v>
      </c>
      <c r="J45" s="5"/>
      <c r="K45" s="5" t="s">
        <v>1483</v>
      </c>
      <c r="L45" s="5"/>
      <c r="M45" s="5" t="s">
        <v>210</v>
      </c>
      <c r="N45" s="5"/>
      <c r="O45" s="5" t="s">
        <v>210</v>
      </c>
      <c r="P45" s="5"/>
      <c r="Q45" s="5" t="s">
        <v>210</v>
      </c>
      <c r="R45" s="5"/>
      <c r="S45" s="5" t="s">
        <v>210</v>
      </c>
      <c r="T45" s="5"/>
      <c r="U45" s="5" t="s">
        <v>210</v>
      </c>
      <c r="V45" s="5"/>
      <c r="W45" s="5" t="s">
        <v>210</v>
      </c>
      <c r="X45" s="5"/>
      <c r="Y45" s="5" t="s">
        <v>204</v>
      </c>
      <c r="Z45" s="5"/>
      <c r="AA45" s="5" t="s">
        <v>204</v>
      </c>
      <c r="AB45" s="5"/>
      <c r="AC45" s="5" t="s">
        <v>210</v>
      </c>
      <c r="AD45" s="5"/>
      <c r="AE45" s="5" t="s">
        <v>210</v>
      </c>
      <c r="AF45" s="5"/>
      <c r="AG45" s="5" t="s">
        <v>204</v>
      </c>
      <c r="AH45" s="5"/>
      <c r="AI45" s="5" t="s">
        <v>210</v>
      </c>
      <c r="AJ45" s="5"/>
      <c r="AK45" s="5"/>
      <c r="AL45" s="21" t="str">
        <f>E45</f>
        <v>yes</v>
      </c>
      <c r="AM45" s="21" t="str">
        <f>G45</f>
        <v>No</v>
      </c>
      <c r="AN45" s="21" t="str">
        <f>I45</f>
        <v>yes</v>
      </c>
      <c r="AO45" s="21" t="str">
        <f>K45</f>
        <v>partial</v>
      </c>
      <c r="AP45" s="21" t="str">
        <f>M45</f>
        <v>no</v>
      </c>
      <c r="AQ45" s="21" t="str">
        <f>O45</f>
        <v>no</v>
      </c>
      <c r="AR45" s="21" t="str">
        <f>Q45</f>
        <v>no</v>
      </c>
      <c r="AS45" s="21" t="str">
        <f>S45</f>
        <v>no</v>
      </c>
      <c r="AT45" s="21" t="str">
        <f>U45</f>
        <v>no</v>
      </c>
      <c r="AU45" s="21" t="str">
        <f>W45</f>
        <v>no</v>
      </c>
      <c r="AV45" s="21" t="str">
        <f>Y45</f>
        <v>n/a</v>
      </c>
      <c r="AW45" s="21" t="str">
        <f>AA45</f>
        <v>n/a</v>
      </c>
      <c r="AX45" s="21" t="str">
        <f>AC45</f>
        <v>no</v>
      </c>
      <c r="AY45" s="21" t="str">
        <f>AE45</f>
        <v>no</v>
      </c>
      <c r="AZ45" s="21" t="str">
        <f>AG45</f>
        <v>n/a</v>
      </c>
      <c r="BA45" s="21" t="str">
        <f>AI45</f>
        <v>no</v>
      </c>
      <c r="BB45" s="21" t="s">
        <v>210</v>
      </c>
      <c r="BC45" s="5">
        <f>COUNTIF(AL45:BA45, "Yes")</f>
        <v>2</v>
      </c>
      <c r="BD45" s="5">
        <f>COUNTIF(AL45:BA45, "Partial")</f>
        <v>1</v>
      </c>
      <c r="BE45" s="5">
        <f>COUNTIF(AL45:BA45, "No")</f>
        <v>10</v>
      </c>
      <c r="BF45" s="5">
        <f>SUM(BC45+(BD45/2))</f>
        <v>2.5</v>
      </c>
      <c r="BG45" s="5">
        <f>SUM(BC45:BE45)</f>
        <v>13</v>
      </c>
      <c r="BH45" s="34">
        <f>SUM(BF45/BG45)*100</f>
        <v>19.230769230769234</v>
      </c>
    </row>
    <row r="46" spans="2:60">
      <c r="B46" s="5" t="s">
        <v>1130</v>
      </c>
      <c r="C46" s="5">
        <v>2019</v>
      </c>
      <c r="D46" s="5" t="s">
        <v>1131</v>
      </c>
      <c r="E46" s="5" t="s">
        <v>210</v>
      </c>
      <c r="F46" s="5" t="s">
        <v>472</v>
      </c>
      <c r="G46" s="5" t="s">
        <v>210</v>
      </c>
      <c r="H46" s="5"/>
      <c r="I46" s="5" t="s">
        <v>210</v>
      </c>
      <c r="J46" s="5"/>
      <c r="K46" s="5" t="s">
        <v>1483</v>
      </c>
      <c r="L46" s="5"/>
      <c r="M46" s="5" t="s">
        <v>210</v>
      </c>
      <c r="N46" s="5"/>
      <c r="O46" s="5" t="s">
        <v>210</v>
      </c>
      <c r="P46" s="5"/>
      <c r="Q46" s="5" t="s">
        <v>210</v>
      </c>
      <c r="R46" s="5"/>
      <c r="S46" s="5" t="s">
        <v>1483</v>
      </c>
      <c r="T46" s="5" t="s">
        <v>1595</v>
      </c>
      <c r="U46" s="5" t="s">
        <v>200</v>
      </c>
      <c r="V46" s="5"/>
      <c r="W46" s="5" t="s">
        <v>210</v>
      </c>
      <c r="X46" s="5"/>
      <c r="Y46" s="5" t="s">
        <v>204</v>
      </c>
      <c r="Z46" s="5"/>
      <c r="AA46" s="5" t="s">
        <v>204</v>
      </c>
      <c r="AB46" s="5"/>
      <c r="AC46" s="5" t="s">
        <v>200</v>
      </c>
      <c r="AD46" s="5" t="s">
        <v>1596</v>
      </c>
      <c r="AE46" s="5" t="s">
        <v>210</v>
      </c>
      <c r="AF46" s="5"/>
      <c r="AG46" s="5" t="s">
        <v>204</v>
      </c>
      <c r="AH46" s="5"/>
      <c r="AI46" s="5" t="s">
        <v>200</v>
      </c>
      <c r="AJ46" s="5"/>
      <c r="AK46" s="5" t="s">
        <v>1489</v>
      </c>
      <c r="AL46" s="21" t="str">
        <f>E46</f>
        <v>no</v>
      </c>
      <c r="AM46" s="21" t="str">
        <f>G46</f>
        <v>no</v>
      </c>
      <c r="AN46" s="21" t="str">
        <f>I46</f>
        <v>no</v>
      </c>
      <c r="AO46" s="21" t="str">
        <f>K46</f>
        <v>partial</v>
      </c>
      <c r="AP46" s="21" t="str">
        <f>M46</f>
        <v>no</v>
      </c>
      <c r="AQ46" s="21" t="str">
        <f>O46</f>
        <v>no</v>
      </c>
      <c r="AR46" s="21" t="str">
        <f>Q46</f>
        <v>no</v>
      </c>
      <c r="AS46" s="21" t="str">
        <f>S46</f>
        <v>partial</v>
      </c>
      <c r="AT46" s="21" t="str">
        <f>U46</f>
        <v>yes</v>
      </c>
      <c r="AU46" s="21" t="str">
        <f>W46</f>
        <v>no</v>
      </c>
      <c r="AV46" s="21" t="str">
        <f>Y46</f>
        <v>n/a</v>
      </c>
      <c r="AW46" s="21" t="str">
        <f>AA46</f>
        <v>n/a</v>
      </c>
      <c r="AX46" s="21" t="str">
        <f>AC46</f>
        <v>yes</v>
      </c>
      <c r="AY46" s="21" t="str">
        <f>AE46</f>
        <v>no</v>
      </c>
      <c r="AZ46" s="21" t="str">
        <f>AG46</f>
        <v>n/a</v>
      </c>
      <c r="BA46" s="21" t="str">
        <f>AI46</f>
        <v>yes</v>
      </c>
      <c r="BB46" s="21" t="s">
        <v>200</v>
      </c>
      <c r="BC46" s="5">
        <f>COUNTIF(AL46:BA46, "Yes")</f>
        <v>3</v>
      </c>
      <c r="BD46" s="5">
        <f>COUNTIF(AL46:BA46, "Partial")</f>
        <v>2</v>
      </c>
      <c r="BE46" s="5">
        <f>COUNTIF(AL46:BA46, "No")</f>
        <v>8</v>
      </c>
      <c r="BF46" s="5">
        <f>SUM(BC46+(BD46/2))</f>
        <v>4</v>
      </c>
      <c r="BG46" s="5">
        <f>SUM(BC46:BE46)</f>
        <v>13</v>
      </c>
      <c r="BH46" s="34">
        <f>SUM(BF46/BG46)*100</f>
        <v>30.76923076923077</v>
      </c>
    </row>
    <row r="47" spans="2:60">
      <c r="B47" s="5" t="s">
        <v>1150</v>
      </c>
      <c r="C47" s="5">
        <v>2019</v>
      </c>
      <c r="D47" s="5" t="s">
        <v>1151</v>
      </c>
      <c r="E47" s="5" t="s">
        <v>210</v>
      </c>
      <c r="F47" s="5" t="s">
        <v>1590</v>
      </c>
      <c r="G47" s="5" t="s">
        <v>210</v>
      </c>
      <c r="H47" s="5" t="s">
        <v>1597</v>
      </c>
      <c r="I47" s="5" t="s">
        <v>210</v>
      </c>
      <c r="J47" s="5"/>
      <c r="K47" s="5" t="s">
        <v>1483</v>
      </c>
      <c r="L47" s="5" t="s">
        <v>1591</v>
      </c>
      <c r="M47" s="5" t="s">
        <v>210</v>
      </c>
      <c r="N47" s="5"/>
      <c r="O47" s="5" t="s">
        <v>210</v>
      </c>
      <c r="P47" s="5"/>
      <c r="Q47" s="5" t="s">
        <v>210</v>
      </c>
      <c r="R47" s="5" t="s">
        <v>1506</v>
      </c>
      <c r="S47" s="5" t="s">
        <v>210</v>
      </c>
      <c r="T47" s="5" t="s">
        <v>1598</v>
      </c>
      <c r="U47" s="5" t="s">
        <v>1483</v>
      </c>
      <c r="V47" s="5"/>
      <c r="W47" s="5" t="s">
        <v>210</v>
      </c>
      <c r="X47" s="5"/>
      <c r="Y47" s="5" t="s">
        <v>204</v>
      </c>
      <c r="Z47" s="5"/>
      <c r="AA47" s="5" t="s">
        <v>204</v>
      </c>
      <c r="AB47" s="5"/>
      <c r="AC47" s="5" t="s">
        <v>210</v>
      </c>
      <c r="AD47" s="5" t="s">
        <v>1599</v>
      </c>
      <c r="AE47" s="5" t="s">
        <v>210</v>
      </c>
      <c r="AF47" s="5"/>
      <c r="AG47" s="5" t="s">
        <v>204</v>
      </c>
      <c r="AH47" s="5"/>
      <c r="AI47" s="5" t="s">
        <v>200</v>
      </c>
      <c r="AJ47" s="5" t="s">
        <v>1526</v>
      </c>
      <c r="AK47" s="5" t="s">
        <v>1489</v>
      </c>
      <c r="AL47" s="21" t="str">
        <f>E47</f>
        <v>no</v>
      </c>
      <c r="AM47" s="21" t="str">
        <f>G47</f>
        <v>no</v>
      </c>
      <c r="AN47" s="21" t="str">
        <f>I47</f>
        <v>no</v>
      </c>
      <c r="AO47" s="21" t="str">
        <f>K47</f>
        <v>partial</v>
      </c>
      <c r="AP47" s="21" t="str">
        <f>M47</f>
        <v>no</v>
      </c>
      <c r="AQ47" s="21" t="str">
        <f>O47</f>
        <v>no</v>
      </c>
      <c r="AR47" s="21" t="str">
        <f>Q47</f>
        <v>no</v>
      </c>
      <c r="AS47" s="21" t="str">
        <f>S47</f>
        <v>no</v>
      </c>
      <c r="AT47" s="21" t="str">
        <f>U47</f>
        <v>partial</v>
      </c>
      <c r="AU47" s="21" t="str">
        <f>W47</f>
        <v>no</v>
      </c>
      <c r="AV47" s="21" t="str">
        <f>Y47</f>
        <v>n/a</v>
      </c>
      <c r="AW47" s="21" t="str">
        <f>AA47</f>
        <v>n/a</v>
      </c>
      <c r="AX47" s="21" t="str">
        <f>AC47</f>
        <v>no</v>
      </c>
      <c r="AY47" s="21" t="str">
        <f>AE47</f>
        <v>no</v>
      </c>
      <c r="AZ47" s="21" t="str">
        <f>AG47</f>
        <v>n/a</v>
      </c>
      <c r="BA47" s="21" t="str">
        <f>AI47</f>
        <v>yes</v>
      </c>
      <c r="BB47" s="21" t="s">
        <v>210</v>
      </c>
      <c r="BC47" s="5">
        <f>COUNTIF(AL47:BA47, "Yes")</f>
        <v>1</v>
      </c>
      <c r="BD47" s="5">
        <f>COUNTIF(AL47:BA47, "Partial")</f>
        <v>2</v>
      </c>
      <c r="BE47" s="5">
        <f>COUNTIF(AL47:BA47, "No")</f>
        <v>10</v>
      </c>
      <c r="BF47" s="5">
        <f>SUM(BC47+(BD47/2))</f>
        <v>2</v>
      </c>
      <c r="BG47" s="5">
        <f>SUM(BC47:BE47)</f>
        <v>13</v>
      </c>
      <c r="BH47" s="34">
        <f>SUM(BF47/BG47)*100</f>
        <v>15.384615384615385</v>
      </c>
    </row>
    <row r="48" spans="2:60">
      <c r="B48" s="96" t="s">
        <v>1176</v>
      </c>
      <c r="C48" s="96">
        <v>2014</v>
      </c>
      <c r="D48" s="96" t="s">
        <v>1177</v>
      </c>
      <c r="E48" s="96" t="s">
        <v>210</v>
      </c>
      <c r="F48" s="5" t="s">
        <v>1600</v>
      </c>
      <c r="G48" s="5" t="s">
        <v>210</v>
      </c>
      <c r="H48" s="5"/>
      <c r="I48" s="5" t="s">
        <v>210</v>
      </c>
      <c r="J48" s="5" t="s">
        <v>1601</v>
      </c>
      <c r="K48" s="5" t="s">
        <v>1483</v>
      </c>
      <c r="L48" s="5"/>
      <c r="M48" s="5" t="s">
        <v>210</v>
      </c>
      <c r="N48" s="5" t="s">
        <v>261</v>
      </c>
      <c r="O48" s="5" t="s">
        <v>210</v>
      </c>
      <c r="P48" s="5" t="s">
        <v>261</v>
      </c>
      <c r="Q48" s="5" t="s">
        <v>210</v>
      </c>
      <c r="R48" s="5"/>
      <c r="S48" s="5" t="s">
        <v>1483</v>
      </c>
      <c r="T48" s="5" t="s">
        <v>1602</v>
      </c>
      <c r="U48" s="5" t="s">
        <v>210</v>
      </c>
      <c r="V48" s="5"/>
      <c r="W48" s="5" t="s">
        <v>210</v>
      </c>
      <c r="X48" s="5"/>
      <c r="Y48" s="5" t="s">
        <v>204</v>
      </c>
      <c r="Z48" s="5"/>
      <c r="AA48" s="5" t="s">
        <v>204</v>
      </c>
      <c r="AB48" s="5"/>
      <c r="AC48" s="5" t="s">
        <v>210</v>
      </c>
      <c r="AD48" s="5"/>
      <c r="AE48" s="5" t="s">
        <v>200</v>
      </c>
      <c r="AF48" s="5"/>
      <c r="AG48" s="5" t="s">
        <v>204</v>
      </c>
      <c r="AH48" s="5"/>
      <c r="AI48" s="5" t="s">
        <v>210</v>
      </c>
      <c r="AJ48" s="5"/>
      <c r="AK48" s="5" t="s">
        <v>1489</v>
      </c>
      <c r="AL48" s="21" t="str">
        <f>E48</f>
        <v>no</v>
      </c>
      <c r="AM48" s="21" t="str">
        <f>G48</f>
        <v>no</v>
      </c>
      <c r="AN48" s="21" t="str">
        <f>I48</f>
        <v>no</v>
      </c>
      <c r="AO48" s="21" t="str">
        <f>K48</f>
        <v>partial</v>
      </c>
      <c r="AP48" s="21" t="str">
        <f>M48</f>
        <v>no</v>
      </c>
      <c r="AQ48" s="21" t="str">
        <f>O48</f>
        <v>no</v>
      </c>
      <c r="AR48" s="21" t="str">
        <f>Q48</f>
        <v>no</v>
      </c>
      <c r="AS48" s="21" t="str">
        <f>S48</f>
        <v>partial</v>
      </c>
      <c r="AT48" s="21" t="str">
        <f>U48</f>
        <v>no</v>
      </c>
      <c r="AU48" s="21" t="str">
        <f>W48</f>
        <v>no</v>
      </c>
      <c r="AV48" s="21" t="str">
        <f>Y48</f>
        <v>n/a</v>
      </c>
      <c r="AW48" s="21" t="str">
        <f>AA48</f>
        <v>n/a</v>
      </c>
      <c r="AX48" s="21" t="str">
        <f>AC48</f>
        <v>no</v>
      </c>
      <c r="AY48" s="21" t="str">
        <f>AE48</f>
        <v>yes</v>
      </c>
      <c r="AZ48" s="21" t="str">
        <f>AG48</f>
        <v>n/a</v>
      </c>
      <c r="BA48" s="21" t="str">
        <f>AI48</f>
        <v>no</v>
      </c>
      <c r="BB48" s="21" t="s">
        <v>210</v>
      </c>
      <c r="BC48" s="5">
        <f>COUNTIF(AL48:BA48, "Yes")</f>
        <v>1</v>
      </c>
      <c r="BD48" s="5">
        <f>COUNTIF(AL48:BA48, "Partial")</f>
        <v>2</v>
      </c>
      <c r="BE48" s="5">
        <f>COUNTIF(AL48:BA48, "No")</f>
        <v>10</v>
      </c>
      <c r="BF48" s="5">
        <f>SUM(BC48+(BD48/2))</f>
        <v>2</v>
      </c>
      <c r="BG48" s="5">
        <f>SUM(BC48:BE48)</f>
        <v>13</v>
      </c>
      <c r="BH48" s="34">
        <f>SUM(BF48/BG48)*100</f>
        <v>15.384615384615385</v>
      </c>
    </row>
    <row r="49" spans="1:60">
      <c r="B49" s="93" t="s">
        <v>1194</v>
      </c>
      <c r="C49" s="93">
        <v>2014</v>
      </c>
      <c r="D49" s="97" t="s">
        <v>1195</v>
      </c>
      <c r="E49" s="93" t="s">
        <v>200</v>
      </c>
      <c r="F49" t="s">
        <v>540</v>
      </c>
      <c r="G49" t="s">
        <v>210</v>
      </c>
      <c r="I49" t="s">
        <v>200</v>
      </c>
      <c r="K49" t="s">
        <v>1483</v>
      </c>
      <c r="M49" t="s">
        <v>210</v>
      </c>
      <c r="N49" t="s">
        <v>1603</v>
      </c>
      <c r="O49" t="s">
        <v>210</v>
      </c>
      <c r="Q49" t="s">
        <v>210</v>
      </c>
      <c r="S49" t="s">
        <v>200</v>
      </c>
      <c r="U49" t="s">
        <v>200</v>
      </c>
      <c r="V49" t="s">
        <v>1604</v>
      </c>
      <c r="W49" t="s">
        <v>210</v>
      </c>
      <c r="Y49" t="s">
        <v>200</v>
      </c>
      <c r="Z49" t="s">
        <v>1605</v>
      </c>
      <c r="AA49" t="s">
        <v>204</v>
      </c>
      <c r="AC49" t="s">
        <v>210</v>
      </c>
      <c r="AE49" t="s">
        <v>210</v>
      </c>
      <c r="AG49" t="s">
        <v>204</v>
      </c>
      <c r="AI49" t="s">
        <v>200</v>
      </c>
      <c r="AK49" t="s">
        <v>1489</v>
      </c>
      <c r="AL49" s="21" t="str">
        <f>E49</f>
        <v>yes</v>
      </c>
      <c r="AM49" s="21" t="str">
        <f>G49</f>
        <v>no</v>
      </c>
      <c r="AN49" s="21" t="str">
        <f>I49</f>
        <v>yes</v>
      </c>
      <c r="AO49" s="21" t="str">
        <f>K49</f>
        <v>partial</v>
      </c>
      <c r="AP49" s="21" t="str">
        <f>M49</f>
        <v>no</v>
      </c>
      <c r="AQ49" s="21" t="str">
        <f>O49</f>
        <v>no</v>
      </c>
      <c r="AR49" s="21" t="str">
        <f>Q49</f>
        <v>no</v>
      </c>
      <c r="AS49" s="21" t="str">
        <f>S49</f>
        <v>yes</v>
      </c>
      <c r="AT49" s="21" t="str">
        <f>U49</f>
        <v>yes</v>
      </c>
      <c r="AU49" s="21" t="str">
        <f>W49</f>
        <v>no</v>
      </c>
      <c r="AV49" s="21" t="str">
        <f>Y49</f>
        <v>yes</v>
      </c>
      <c r="AW49" s="21" t="str">
        <f>AA49</f>
        <v>n/a</v>
      </c>
      <c r="AX49" s="21" t="str">
        <f>AC49</f>
        <v>no</v>
      </c>
      <c r="AY49" s="21" t="str">
        <f>AE49</f>
        <v>no</v>
      </c>
      <c r="AZ49" s="21" t="str">
        <f>AG49</f>
        <v>n/a</v>
      </c>
      <c r="BA49" s="21" t="str">
        <f>AI49</f>
        <v>yes</v>
      </c>
      <c r="BB49" s="21" t="s">
        <v>210</v>
      </c>
      <c r="BC49" s="5">
        <f>COUNTIF(AL49:BA49, "Yes")</f>
        <v>6</v>
      </c>
      <c r="BD49" s="5">
        <f>COUNTIF(AL49:BA49, "Partial")</f>
        <v>1</v>
      </c>
      <c r="BE49" s="5">
        <f>COUNTIF(AL49:BA49, "No")</f>
        <v>7</v>
      </c>
      <c r="BF49" s="5">
        <f>SUM(BC49+(BD49/2))</f>
        <v>6.5</v>
      </c>
      <c r="BG49" s="5">
        <f>SUM(BC49:BE49)</f>
        <v>14</v>
      </c>
      <c r="BH49" s="34">
        <f>SUM(BF49/BG49)*100</f>
        <v>46.428571428571431</v>
      </c>
    </row>
    <row r="50" spans="1:60">
      <c r="B50" s="93" t="s">
        <v>1226</v>
      </c>
      <c r="C50" s="93">
        <v>2019</v>
      </c>
      <c r="D50" s="93" t="s">
        <v>1227</v>
      </c>
      <c r="E50" s="93" t="s">
        <v>210</v>
      </c>
      <c r="F50" t="s">
        <v>1606</v>
      </c>
      <c r="G50" t="s">
        <v>210</v>
      </c>
      <c r="I50" t="s">
        <v>210</v>
      </c>
      <c r="J50" t="s">
        <v>1607</v>
      </c>
      <c r="K50" t="s">
        <v>1483</v>
      </c>
      <c r="M50" t="s">
        <v>210</v>
      </c>
      <c r="O50" t="s">
        <v>210</v>
      </c>
      <c r="Q50" t="s">
        <v>210</v>
      </c>
      <c r="S50" t="s">
        <v>210</v>
      </c>
      <c r="T50" t="s">
        <v>1608</v>
      </c>
      <c r="U50" t="s">
        <v>1483</v>
      </c>
      <c r="W50" t="s">
        <v>210</v>
      </c>
      <c r="Y50" t="s">
        <v>204</v>
      </c>
      <c r="AA50" t="s">
        <v>204</v>
      </c>
      <c r="AC50" t="s">
        <v>200</v>
      </c>
      <c r="AE50" t="s">
        <v>200</v>
      </c>
      <c r="AG50" t="s">
        <v>204</v>
      </c>
      <c r="AI50" t="s">
        <v>210</v>
      </c>
      <c r="AK50" t="s">
        <v>1489</v>
      </c>
      <c r="AL50" s="21" t="str">
        <f>E50</f>
        <v>no</v>
      </c>
      <c r="AM50" s="21" t="str">
        <f>G50</f>
        <v>no</v>
      </c>
      <c r="AN50" s="21" t="str">
        <f>I50</f>
        <v>no</v>
      </c>
      <c r="AO50" s="21" t="str">
        <f>K50</f>
        <v>partial</v>
      </c>
      <c r="AP50" s="21" t="str">
        <f>M50</f>
        <v>no</v>
      </c>
      <c r="AQ50" s="21" t="str">
        <f>O50</f>
        <v>no</v>
      </c>
      <c r="AR50" s="21" t="str">
        <f>Q50</f>
        <v>no</v>
      </c>
      <c r="AS50" s="21" t="str">
        <f>S50</f>
        <v>no</v>
      </c>
      <c r="AT50" s="21" t="str">
        <f>U50</f>
        <v>partial</v>
      </c>
      <c r="AU50" s="21" t="str">
        <f>W50</f>
        <v>no</v>
      </c>
      <c r="AV50" s="21" t="str">
        <f>Y50</f>
        <v>n/a</v>
      </c>
      <c r="AW50" s="21" t="str">
        <f>AA50</f>
        <v>n/a</v>
      </c>
      <c r="AX50" s="21" t="str">
        <f>AC50</f>
        <v>yes</v>
      </c>
      <c r="AY50" s="21" t="str">
        <f>AE50</f>
        <v>yes</v>
      </c>
      <c r="AZ50" s="21" t="str">
        <f>AG50</f>
        <v>n/a</v>
      </c>
      <c r="BA50" s="21" t="str">
        <f>AI50</f>
        <v>no</v>
      </c>
      <c r="BB50" s="21" t="s">
        <v>200</v>
      </c>
      <c r="BC50" s="5">
        <f>COUNTIF(AL50:BA50, "Yes")</f>
        <v>2</v>
      </c>
      <c r="BD50" s="5">
        <f>COUNTIF(AL50:BA50, "Partial")</f>
        <v>2</v>
      </c>
      <c r="BE50" s="5">
        <f>COUNTIF(AL50:BA50, "No")</f>
        <v>9</v>
      </c>
      <c r="BF50" s="5">
        <f>SUM(BC50+(BD50/2))</f>
        <v>3</v>
      </c>
      <c r="BG50" s="5">
        <f>SUM(BC50:BE50)</f>
        <v>13</v>
      </c>
      <c r="BH50" s="34">
        <f>SUM(BF50/BG50)*100</f>
        <v>23.076923076923077</v>
      </c>
    </row>
    <row r="51" spans="1:60">
      <c r="B51" s="93" t="s">
        <v>1246</v>
      </c>
      <c r="C51" s="93">
        <v>2017</v>
      </c>
      <c r="D51" s="93" t="s">
        <v>1247</v>
      </c>
      <c r="E51" s="93" t="s">
        <v>200</v>
      </c>
      <c r="G51" t="s">
        <v>210</v>
      </c>
      <c r="I51" t="s">
        <v>210</v>
      </c>
      <c r="J51" t="s">
        <v>1607</v>
      </c>
      <c r="K51" t="s">
        <v>1483</v>
      </c>
      <c r="M51" t="s">
        <v>200</v>
      </c>
      <c r="O51" t="s">
        <v>210</v>
      </c>
      <c r="Q51" t="s">
        <v>210</v>
      </c>
      <c r="S51" t="s">
        <v>200</v>
      </c>
      <c r="U51" t="s">
        <v>210</v>
      </c>
      <c r="W51" t="s">
        <v>210</v>
      </c>
      <c r="Y51" t="s">
        <v>204</v>
      </c>
      <c r="AA51" t="s">
        <v>204</v>
      </c>
      <c r="AC51" t="s">
        <v>200</v>
      </c>
      <c r="AE51" t="s">
        <v>200</v>
      </c>
      <c r="AG51" t="s">
        <v>204</v>
      </c>
      <c r="AI51" t="s">
        <v>210</v>
      </c>
      <c r="AK51" t="s">
        <v>1489</v>
      </c>
      <c r="AL51" s="21" t="str">
        <f>E51</f>
        <v>yes</v>
      </c>
      <c r="AM51" s="21" t="str">
        <f>G51</f>
        <v>no</v>
      </c>
      <c r="AN51" s="21" t="str">
        <f>I51</f>
        <v>no</v>
      </c>
      <c r="AO51" s="21" t="str">
        <f>K51</f>
        <v>partial</v>
      </c>
      <c r="AP51" s="21" t="str">
        <f>M51</f>
        <v>yes</v>
      </c>
      <c r="AQ51" s="21" t="str">
        <f>O51</f>
        <v>no</v>
      </c>
      <c r="AR51" s="21" t="str">
        <f>Q51</f>
        <v>no</v>
      </c>
      <c r="AS51" s="21" t="str">
        <f>S51</f>
        <v>yes</v>
      </c>
      <c r="AT51" s="21" t="str">
        <f>U51</f>
        <v>no</v>
      </c>
      <c r="AU51" s="21" t="str">
        <f>W51</f>
        <v>no</v>
      </c>
      <c r="AV51" s="21" t="str">
        <f>Y51</f>
        <v>n/a</v>
      </c>
      <c r="AW51" s="21" t="str">
        <f>AA51</f>
        <v>n/a</v>
      </c>
      <c r="AX51" s="21" t="str">
        <f>AC51</f>
        <v>yes</v>
      </c>
      <c r="AY51" s="21" t="str">
        <f>AE51</f>
        <v>yes</v>
      </c>
      <c r="AZ51" s="21" t="str">
        <f>AG51</f>
        <v>n/a</v>
      </c>
      <c r="BA51" s="21" t="str">
        <f>AI51</f>
        <v>no</v>
      </c>
      <c r="BB51" s="21" t="s">
        <v>210</v>
      </c>
      <c r="BC51" s="5">
        <f>COUNTIF(AL51:BA51, "Yes")</f>
        <v>5</v>
      </c>
      <c r="BD51" s="5">
        <f>COUNTIF(AL51:BA51, "Partial")</f>
        <v>1</v>
      </c>
      <c r="BE51" s="5">
        <f>COUNTIF(AL51:BA51, "No")</f>
        <v>7</v>
      </c>
      <c r="BF51" s="5">
        <f>SUM(BC51+(BD51/2))</f>
        <v>5.5</v>
      </c>
      <c r="BG51" s="5">
        <f>SUM(BC51:BE51)</f>
        <v>13</v>
      </c>
      <c r="BH51" s="34">
        <f>SUM(BF51/BG51)*100</f>
        <v>42.307692307692307</v>
      </c>
    </row>
    <row r="52" spans="1:60">
      <c r="B52" s="93" t="s">
        <v>1273</v>
      </c>
      <c r="C52" s="93">
        <v>2014</v>
      </c>
      <c r="D52" s="93" t="s">
        <v>1274</v>
      </c>
      <c r="E52" s="93" t="s">
        <v>210</v>
      </c>
      <c r="F52" t="s">
        <v>472</v>
      </c>
      <c r="G52" t="s">
        <v>210</v>
      </c>
      <c r="I52" t="s">
        <v>200</v>
      </c>
      <c r="K52" t="s">
        <v>1483</v>
      </c>
      <c r="M52" t="s">
        <v>200</v>
      </c>
      <c r="O52" t="s">
        <v>210</v>
      </c>
      <c r="Q52" t="s">
        <v>210</v>
      </c>
      <c r="R52" t="s">
        <v>1506</v>
      </c>
      <c r="S52" t="s">
        <v>1483</v>
      </c>
      <c r="T52" t="s">
        <v>1609</v>
      </c>
      <c r="U52" t="s">
        <v>210</v>
      </c>
      <c r="V52" t="s">
        <v>1610</v>
      </c>
      <c r="W52" t="s">
        <v>210</v>
      </c>
      <c r="Y52" t="s">
        <v>204</v>
      </c>
      <c r="AA52" t="s">
        <v>204</v>
      </c>
      <c r="AC52" t="s">
        <v>200</v>
      </c>
      <c r="AE52" t="s">
        <v>200</v>
      </c>
      <c r="AG52" t="s">
        <v>204</v>
      </c>
      <c r="AI52" t="s">
        <v>210</v>
      </c>
      <c r="AK52" t="s">
        <v>1489</v>
      </c>
      <c r="AL52" s="21" t="str">
        <f>E52</f>
        <v>no</v>
      </c>
      <c r="AM52" s="21" t="str">
        <f>G52</f>
        <v>no</v>
      </c>
      <c r="AN52" s="21" t="str">
        <f>I52</f>
        <v>yes</v>
      </c>
      <c r="AO52" s="21" t="str">
        <f>K52</f>
        <v>partial</v>
      </c>
      <c r="AP52" s="21" t="str">
        <f>M52</f>
        <v>yes</v>
      </c>
      <c r="AQ52" s="21" t="str">
        <f>O52</f>
        <v>no</v>
      </c>
      <c r="AR52" s="21" t="str">
        <f>Q52</f>
        <v>no</v>
      </c>
      <c r="AS52" s="21" t="str">
        <f>S52</f>
        <v>partial</v>
      </c>
      <c r="AT52" s="21" t="str">
        <f>U52</f>
        <v>no</v>
      </c>
      <c r="AU52" s="21" t="str">
        <f>W52</f>
        <v>no</v>
      </c>
      <c r="AV52" s="21" t="str">
        <f>Y52</f>
        <v>n/a</v>
      </c>
      <c r="AW52" s="21" t="str">
        <f>AA52</f>
        <v>n/a</v>
      </c>
      <c r="AX52" s="21" t="str">
        <f>AC52</f>
        <v>yes</v>
      </c>
      <c r="AY52" s="21" t="str">
        <f>AE52</f>
        <v>yes</v>
      </c>
      <c r="AZ52" s="21" t="str">
        <f>AG52</f>
        <v>n/a</v>
      </c>
      <c r="BA52" s="21" t="str">
        <f>AI52</f>
        <v>no</v>
      </c>
      <c r="BB52" s="21" t="s">
        <v>210</v>
      </c>
      <c r="BC52" s="5">
        <f>COUNTIF(AL52:BA52, "Yes")</f>
        <v>4</v>
      </c>
      <c r="BD52" s="5">
        <f>COUNTIF(AL52:BA52, "Partial")</f>
        <v>2</v>
      </c>
      <c r="BE52" s="5">
        <f>COUNTIF(AL52:BA52, "No")</f>
        <v>7</v>
      </c>
      <c r="BF52" s="5">
        <f>SUM(BC52+(BD52/2))</f>
        <v>5</v>
      </c>
      <c r="BG52" s="5">
        <f>SUM(BC52:BE52)</f>
        <v>13</v>
      </c>
      <c r="BH52" s="34">
        <f>SUM(BF52/BG52)*100</f>
        <v>38.461538461538467</v>
      </c>
    </row>
    <row r="53" spans="1:60">
      <c r="B53" s="93" t="s">
        <v>1291</v>
      </c>
      <c r="C53" s="93">
        <v>2013</v>
      </c>
      <c r="D53" s="93" t="s">
        <v>1292</v>
      </c>
      <c r="E53" s="93" t="s">
        <v>210</v>
      </c>
      <c r="F53" t="s">
        <v>1611</v>
      </c>
      <c r="G53" t="s">
        <v>210</v>
      </c>
      <c r="I53" t="s">
        <v>200</v>
      </c>
      <c r="K53" t="s">
        <v>210</v>
      </c>
      <c r="M53" t="s">
        <v>210</v>
      </c>
      <c r="N53" t="s">
        <v>261</v>
      </c>
      <c r="O53" t="s">
        <v>210</v>
      </c>
      <c r="P53" t="s">
        <v>261</v>
      </c>
      <c r="Q53" t="s">
        <v>210</v>
      </c>
      <c r="S53" t="s">
        <v>210</v>
      </c>
      <c r="T53" t="s">
        <v>1612</v>
      </c>
      <c r="U53" t="s">
        <v>200</v>
      </c>
      <c r="W53" t="s">
        <v>210</v>
      </c>
      <c r="Y53" t="s">
        <v>204</v>
      </c>
      <c r="AA53" t="s">
        <v>204</v>
      </c>
      <c r="AB53" t="s">
        <v>204</v>
      </c>
      <c r="AC53" t="s">
        <v>210</v>
      </c>
      <c r="AE53" t="s">
        <v>210</v>
      </c>
      <c r="AG53" t="s">
        <v>204</v>
      </c>
      <c r="AI53" t="s">
        <v>210</v>
      </c>
      <c r="AL53" s="21" t="str">
        <f>E53</f>
        <v>no</v>
      </c>
      <c r="AM53" s="21" t="str">
        <f>G53</f>
        <v>no</v>
      </c>
      <c r="AN53" s="21" t="str">
        <f>I53</f>
        <v>yes</v>
      </c>
      <c r="AO53" s="21" t="str">
        <f>K53</f>
        <v>no</v>
      </c>
      <c r="AP53" s="21" t="str">
        <f>M53</f>
        <v>no</v>
      </c>
      <c r="AQ53" s="21" t="str">
        <f>O53</f>
        <v>no</v>
      </c>
      <c r="AR53" s="21" t="str">
        <f>Q53</f>
        <v>no</v>
      </c>
      <c r="AS53" s="21" t="str">
        <f>S53</f>
        <v>no</v>
      </c>
      <c r="AT53" s="21" t="str">
        <f>U53</f>
        <v>yes</v>
      </c>
      <c r="AU53" s="21" t="str">
        <f>W53</f>
        <v>no</v>
      </c>
      <c r="AV53" s="21" t="str">
        <f>Y53</f>
        <v>n/a</v>
      </c>
      <c r="AW53" s="21" t="str">
        <f>AA53</f>
        <v>n/a</v>
      </c>
      <c r="AX53" s="21" t="str">
        <f>AC53</f>
        <v>no</v>
      </c>
      <c r="AY53" s="21" t="str">
        <f>AE53</f>
        <v>no</v>
      </c>
      <c r="AZ53" s="21" t="str">
        <f>AG53</f>
        <v>n/a</v>
      </c>
      <c r="BA53" s="21" t="str">
        <f>AI53</f>
        <v>no</v>
      </c>
      <c r="BB53" s="21" t="s">
        <v>210</v>
      </c>
      <c r="BC53" s="5">
        <f>COUNTIF(AL53:BA53, "Yes")</f>
        <v>2</v>
      </c>
      <c r="BD53" s="5">
        <f>COUNTIF(AL53:BA53, "Partial")</f>
        <v>0</v>
      </c>
      <c r="BE53" s="5">
        <f>COUNTIF(AL53:BA53, "No")</f>
        <v>11</v>
      </c>
      <c r="BF53" s="5">
        <f>SUM(BC53+(BD53/2))</f>
        <v>2</v>
      </c>
      <c r="BG53" s="5">
        <f>SUM(BC53:BE53)</f>
        <v>13</v>
      </c>
      <c r="BH53" s="34">
        <f>SUM(BF53/BG53)*100</f>
        <v>15.384615384615385</v>
      </c>
    </row>
    <row r="54" spans="1:60">
      <c r="B54" s="93" t="s">
        <v>1309</v>
      </c>
      <c r="C54" s="93">
        <v>2017</v>
      </c>
      <c r="D54" s="93" t="s">
        <v>1310</v>
      </c>
      <c r="E54" s="93" t="s">
        <v>200</v>
      </c>
      <c r="G54" t="s">
        <v>210</v>
      </c>
      <c r="I54" t="s">
        <v>210</v>
      </c>
      <c r="K54" t="s">
        <v>210</v>
      </c>
      <c r="M54" t="s">
        <v>210</v>
      </c>
      <c r="O54" t="s">
        <v>210</v>
      </c>
      <c r="Q54" t="s">
        <v>210</v>
      </c>
      <c r="R54" t="s">
        <v>1506</v>
      </c>
      <c r="S54" t="s">
        <v>210</v>
      </c>
      <c r="U54" t="s">
        <v>210</v>
      </c>
      <c r="W54" t="s">
        <v>210</v>
      </c>
      <c r="Y54" t="s">
        <v>204</v>
      </c>
      <c r="AA54" t="s">
        <v>204</v>
      </c>
      <c r="AC54" t="s">
        <v>210</v>
      </c>
      <c r="AE54" t="s">
        <v>210</v>
      </c>
      <c r="AG54" t="s">
        <v>204</v>
      </c>
      <c r="AI54" t="s">
        <v>200</v>
      </c>
      <c r="AK54" t="s">
        <v>1489</v>
      </c>
      <c r="AL54" s="21" t="str">
        <f>E54</f>
        <v>yes</v>
      </c>
      <c r="AM54" s="21" t="str">
        <f>G54</f>
        <v>no</v>
      </c>
      <c r="AN54" s="21" t="str">
        <f>I54</f>
        <v>no</v>
      </c>
      <c r="AO54" s="21" t="str">
        <f>K54</f>
        <v>no</v>
      </c>
      <c r="AP54" s="21" t="str">
        <f>M54</f>
        <v>no</v>
      </c>
      <c r="AQ54" s="21" t="str">
        <f>O54</f>
        <v>no</v>
      </c>
      <c r="AR54" s="21" t="str">
        <f>Q54</f>
        <v>no</v>
      </c>
      <c r="AS54" s="21" t="str">
        <f>S54</f>
        <v>no</v>
      </c>
      <c r="AT54" s="21" t="str">
        <f>U54</f>
        <v>no</v>
      </c>
      <c r="AU54" s="21" t="str">
        <f>W54</f>
        <v>no</v>
      </c>
      <c r="AV54" s="21" t="str">
        <f>Y54</f>
        <v>n/a</v>
      </c>
      <c r="AW54" s="21" t="str">
        <f>AA54</f>
        <v>n/a</v>
      </c>
      <c r="AX54" s="21" t="str">
        <f>AC54</f>
        <v>no</v>
      </c>
      <c r="AY54" s="21" t="str">
        <f>AE54</f>
        <v>no</v>
      </c>
      <c r="AZ54" s="21" t="str">
        <f>AG54</f>
        <v>n/a</v>
      </c>
      <c r="BA54" s="21" t="str">
        <f>AI54</f>
        <v>yes</v>
      </c>
      <c r="BB54" s="21" t="s">
        <v>210</v>
      </c>
      <c r="BC54" s="5">
        <f>COUNTIF(AL54:BA54, "Yes")</f>
        <v>2</v>
      </c>
      <c r="BD54" s="5">
        <f>COUNTIF(AL54:BA54, "Partial")</f>
        <v>0</v>
      </c>
      <c r="BE54" s="5">
        <f>COUNTIF(AL54:BA54, "No")</f>
        <v>11</v>
      </c>
      <c r="BF54" s="5">
        <f>SUM(BC54+(BD54/2))</f>
        <v>2</v>
      </c>
      <c r="BG54" s="5">
        <f>SUM(BC54:BE54)</f>
        <v>13</v>
      </c>
      <c r="BH54" s="34">
        <f>SUM(BF54/BG54)*100</f>
        <v>15.384615384615385</v>
      </c>
    </row>
    <row r="55" spans="1:60">
      <c r="B55" s="93" t="s">
        <v>1327</v>
      </c>
      <c r="C55" s="93">
        <v>2014</v>
      </c>
      <c r="D55" s="93" t="s">
        <v>1328</v>
      </c>
      <c r="E55" s="93" t="s">
        <v>210</v>
      </c>
      <c r="F55" s="35" t="s">
        <v>1334</v>
      </c>
      <c r="G55" t="s">
        <v>210</v>
      </c>
      <c r="I55" t="s">
        <v>210</v>
      </c>
      <c r="K55" t="s">
        <v>1483</v>
      </c>
      <c r="M55" t="s">
        <v>210</v>
      </c>
      <c r="O55" t="s">
        <v>210</v>
      </c>
      <c r="Q55" t="s">
        <v>210</v>
      </c>
      <c r="S55" t="s">
        <v>210</v>
      </c>
      <c r="U55" t="s">
        <v>210</v>
      </c>
      <c r="V55" t="s">
        <v>1613</v>
      </c>
      <c r="W55" t="s">
        <v>210</v>
      </c>
      <c r="Y55" t="s">
        <v>204</v>
      </c>
      <c r="AA55" t="s">
        <v>204</v>
      </c>
      <c r="AC55" t="s">
        <v>210</v>
      </c>
      <c r="AE55" t="s">
        <v>210</v>
      </c>
      <c r="AG55" t="s">
        <v>204</v>
      </c>
      <c r="AI55" t="s">
        <v>210</v>
      </c>
      <c r="AK55" t="s">
        <v>1489</v>
      </c>
      <c r="AL55" s="21" t="str">
        <f>E55</f>
        <v>no</v>
      </c>
      <c r="AM55" s="21" t="str">
        <f>G55</f>
        <v>no</v>
      </c>
      <c r="AN55" s="21" t="str">
        <f>I55</f>
        <v>no</v>
      </c>
      <c r="AO55" s="21" t="str">
        <f>K55</f>
        <v>partial</v>
      </c>
      <c r="AP55" s="21" t="str">
        <f>M55</f>
        <v>no</v>
      </c>
      <c r="AQ55" s="21" t="str">
        <f>O55</f>
        <v>no</v>
      </c>
      <c r="AR55" s="21" t="str">
        <f>Q55</f>
        <v>no</v>
      </c>
      <c r="AS55" s="21" t="str">
        <f>S55</f>
        <v>no</v>
      </c>
      <c r="AT55" s="21" t="str">
        <f>U55</f>
        <v>no</v>
      </c>
      <c r="AU55" s="21" t="str">
        <f>W55</f>
        <v>no</v>
      </c>
      <c r="AV55" s="21" t="str">
        <f>Y55</f>
        <v>n/a</v>
      </c>
      <c r="AW55" s="21" t="str">
        <f>AA55</f>
        <v>n/a</v>
      </c>
      <c r="AX55" s="21" t="str">
        <f>AC55</f>
        <v>no</v>
      </c>
      <c r="AY55" s="21" t="str">
        <f>AE55</f>
        <v>no</v>
      </c>
      <c r="AZ55" s="21" t="str">
        <f>AG55</f>
        <v>n/a</v>
      </c>
      <c r="BA55" s="21" t="str">
        <f>AI55</f>
        <v>no</v>
      </c>
      <c r="BB55" s="21" t="s">
        <v>210</v>
      </c>
      <c r="BC55" s="5">
        <f>COUNTIF(AL55:BA55, "Yes")</f>
        <v>0</v>
      </c>
      <c r="BD55" s="5">
        <f>COUNTIF(AL55:BA55, "Partial")</f>
        <v>1</v>
      </c>
      <c r="BE55" s="5">
        <f>COUNTIF(AL55:BA55, "No")</f>
        <v>12</v>
      </c>
      <c r="BF55" s="5">
        <f>SUM(BC55+(BD55/2))</f>
        <v>0.5</v>
      </c>
      <c r="BG55" s="5">
        <f>SUM(BC55:BE55)</f>
        <v>13</v>
      </c>
      <c r="BH55" s="34">
        <f>SUM(BF55/BG55)*100</f>
        <v>3.8461538461538463</v>
      </c>
    </row>
    <row r="56" spans="1:60">
      <c r="B56" s="93" t="s">
        <v>1347</v>
      </c>
      <c r="C56" s="93">
        <v>2018</v>
      </c>
      <c r="D56" s="93" t="s">
        <v>1348</v>
      </c>
      <c r="E56" s="93" t="s">
        <v>200</v>
      </c>
      <c r="F56" s="35"/>
      <c r="G56" t="s">
        <v>200</v>
      </c>
      <c r="H56" t="s">
        <v>1614</v>
      </c>
      <c r="I56" t="s">
        <v>200</v>
      </c>
      <c r="K56" t="s">
        <v>210</v>
      </c>
      <c r="L56" t="s">
        <v>1615</v>
      </c>
      <c r="M56" t="s">
        <v>210</v>
      </c>
      <c r="N56" t="s">
        <v>1616</v>
      </c>
      <c r="O56" t="s">
        <v>210</v>
      </c>
      <c r="Q56" t="s">
        <v>210</v>
      </c>
      <c r="S56" t="s">
        <v>210</v>
      </c>
      <c r="T56" t="s">
        <v>1617</v>
      </c>
      <c r="U56" t="s">
        <v>200</v>
      </c>
      <c r="W56" t="s">
        <v>210</v>
      </c>
      <c r="Y56" t="s">
        <v>204</v>
      </c>
      <c r="AA56" t="s">
        <v>204</v>
      </c>
      <c r="AC56" t="s">
        <v>200</v>
      </c>
      <c r="AE56" t="s">
        <v>210</v>
      </c>
      <c r="AG56" t="s">
        <v>204</v>
      </c>
      <c r="AI56" t="s">
        <v>200</v>
      </c>
      <c r="AL56" s="21" t="str">
        <f t="shared" ref="AL56:AL63" si="0">E56</f>
        <v>yes</v>
      </c>
      <c r="AM56" s="21" t="str">
        <f t="shared" ref="AM56:AM63" si="1">G56</f>
        <v>yes</v>
      </c>
      <c r="AN56" s="21" t="str">
        <f t="shared" ref="AN56:AN63" si="2">I56</f>
        <v>yes</v>
      </c>
      <c r="AO56" s="21" t="str">
        <f t="shared" ref="AO56:AO63" si="3">K56</f>
        <v>no</v>
      </c>
      <c r="AP56" s="21" t="str">
        <f t="shared" ref="AP56:AP63" si="4">M56</f>
        <v>no</v>
      </c>
      <c r="AQ56" s="21" t="str">
        <f t="shared" ref="AQ56:AQ63" si="5">O56</f>
        <v>no</v>
      </c>
      <c r="AR56" s="21" t="str">
        <f t="shared" ref="AR56:AR63" si="6">Q56</f>
        <v>no</v>
      </c>
      <c r="AS56" s="21" t="str">
        <f t="shared" ref="AS56:AS63" si="7">S56</f>
        <v>no</v>
      </c>
      <c r="AT56" s="21" t="str">
        <f t="shared" ref="AT56:AT63" si="8">U56</f>
        <v>yes</v>
      </c>
      <c r="AU56" s="21" t="str">
        <f t="shared" ref="AU56:AU63" si="9">W56</f>
        <v>no</v>
      </c>
      <c r="AV56" s="21" t="str">
        <f t="shared" ref="AV56:AV63" si="10">Y56</f>
        <v>n/a</v>
      </c>
      <c r="AW56" s="21" t="str">
        <f t="shared" ref="AW56:AW63" si="11">AA56</f>
        <v>n/a</v>
      </c>
      <c r="AX56" s="21" t="str">
        <f t="shared" ref="AX56:AX63" si="12">AC56</f>
        <v>yes</v>
      </c>
      <c r="AY56" s="21" t="str">
        <f t="shared" ref="AY56:AY63" si="13">AE56</f>
        <v>no</v>
      </c>
      <c r="AZ56" s="21" t="str">
        <f t="shared" ref="AZ56:AZ63" si="14">AG56</f>
        <v>n/a</v>
      </c>
      <c r="BA56" s="21" t="str">
        <f t="shared" ref="BA56:BA63" si="15">AI56</f>
        <v>yes</v>
      </c>
      <c r="BB56" s="21" t="s">
        <v>210</v>
      </c>
      <c r="BC56" s="5">
        <f t="shared" ref="BC56:BC63" si="16">COUNTIF(AL56:BA56, "Yes")</f>
        <v>6</v>
      </c>
      <c r="BD56" s="5">
        <f t="shared" ref="BD56:BD63" si="17">COUNTIF(AL56:BA56, "Partial")</f>
        <v>0</v>
      </c>
      <c r="BE56" s="5">
        <f t="shared" ref="BE56:BE63" si="18">COUNTIF(AL56:BA56, "No")</f>
        <v>7</v>
      </c>
      <c r="BF56" s="5">
        <f t="shared" ref="BF56:BF63" si="19">SUM(BC56+(BD56/2))</f>
        <v>6</v>
      </c>
      <c r="BG56" s="5">
        <f t="shared" ref="BG56:BG63" si="20">SUM(BC56:BE56)</f>
        <v>13</v>
      </c>
      <c r="BH56" s="34">
        <f t="shared" ref="BH56:BH63" si="21">SUM(BF56/BG56)*100</f>
        <v>46.153846153846153</v>
      </c>
    </row>
    <row r="57" spans="1:60">
      <c r="B57" s="93" t="s">
        <v>1357</v>
      </c>
      <c r="C57" s="93">
        <v>2017</v>
      </c>
      <c r="D57" s="93" t="s">
        <v>1358</v>
      </c>
      <c r="E57" s="93" t="s">
        <v>210</v>
      </c>
      <c r="F57" s="35" t="s">
        <v>624</v>
      </c>
      <c r="G57" t="s">
        <v>210</v>
      </c>
      <c r="I57" t="s">
        <v>200</v>
      </c>
      <c r="K57" t="s">
        <v>1483</v>
      </c>
      <c r="L57" t="s">
        <v>1618</v>
      </c>
      <c r="M57" t="s">
        <v>200</v>
      </c>
      <c r="O57" t="s">
        <v>200</v>
      </c>
      <c r="Q57" t="s">
        <v>200</v>
      </c>
      <c r="S57" t="s">
        <v>210</v>
      </c>
      <c r="T57" t="s">
        <v>1619</v>
      </c>
      <c r="U57" t="s">
        <v>200</v>
      </c>
      <c r="W57" t="s">
        <v>210</v>
      </c>
      <c r="Y57" t="s">
        <v>200</v>
      </c>
      <c r="AA57" t="s">
        <v>210</v>
      </c>
      <c r="AC57" t="s">
        <v>210</v>
      </c>
      <c r="AE57" t="s">
        <v>200</v>
      </c>
      <c r="AG57" t="s">
        <v>210</v>
      </c>
      <c r="AI57" t="s">
        <v>200</v>
      </c>
      <c r="AL57" s="21" t="str">
        <f t="shared" si="0"/>
        <v>no</v>
      </c>
      <c r="AM57" s="21" t="str">
        <f t="shared" si="1"/>
        <v>no</v>
      </c>
      <c r="AN57" s="21" t="str">
        <f t="shared" si="2"/>
        <v>yes</v>
      </c>
      <c r="AO57" s="21" t="str">
        <f t="shared" si="3"/>
        <v>partial</v>
      </c>
      <c r="AP57" s="21" t="str">
        <f t="shared" si="4"/>
        <v>yes</v>
      </c>
      <c r="AQ57" s="21" t="str">
        <f t="shared" si="5"/>
        <v>yes</v>
      </c>
      <c r="AR57" s="21" t="str">
        <f t="shared" si="6"/>
        <v>yes</v>
      </c>
      <c r="AS57" s="21" t="str">
        <f t="shared" si="7"/>
        <v>no</v>
      </c>
      <c r="AT57" s="21" t="str">
        <f t="shared" si="8"/>
        <v>yes</v>
      </c>
      <c r="AU57" s="21" t="str">
        <f t="shared" si="9"/>
        <v>no</v>
      </c>
      <c r="AV57" s="21" t="str">
        <f t="shared" si="10"/>
        <v>yes</v>
      </c>
      <c r="AW57" s="21" t="str">
        <f t="shared" si="11"/>
        <v>no</v>
      </c>
      <c r="AX57" s="21" t="str">
        <f t="shared" si="12"/>
        <v>no</v>
      </c>
      <c r="AY57" s="21" t="str">
        <f t="shared" si="13"/>
        <v>yes</v>
      </c>
      <c r="AZ57" s="21" t="str">
        <f t="shared" si="14"/>
        <v>no</v>
      </c>
      <c r="BA57" s="21" t="str">
        <f t="shared" si="15"/>
        <v>yes</v>
      </c>
      <c r="BB57" s="21" t="s">
        <v>210</v>
      </c>
      <c r="BC57" s="5">
        <f t="shared" si="16"/>
        <v>8</v>
      </c>
      <c r="BD57" s="5">
        <f t="shared" si="17"/>
        <v>1</v>
      </c>
      <c r="BE57" s="5">
        <f t="shared" si="18"/>
        <v>7</v>
      </c>
      <c r="BF57" s="5">
        <f t="shared" si="19"/>
        <v>8.5</v>
      </c>
      <c r="BG57" s="5">
        <f t="shared" si="20"/>
        <v>16</v>
      </c>
      <c r="BH57" s="34">
        <f t="shared" si="21"/>
        <v>53.125</v>
      </c>
    </row>
    <row r="58" spans="1:60">
      <c r="B58" s="93" t="s">
        <v>1367</v>
      </c>
      <c r="C58" s="93">
        <v>2013</v>
      </c>
      <c r="D58" s="93" t="s">
        <v>1368</v>
      </c>
      <c r="E58" s="93" t="s">
        <v>210</v>
      </c>
      <c r="F58" s="35" t="s">
        <v>1620</v>
      </c>
      <c r="G58" t="s">
        <v>210</v>
      </c>
      <c r="I58" t="s">
        <v>210</v>
      </c>
      <c r="J58" t="s">
        <v>1621</v>
      </c>
      <c r="K58" t="s">
        <v>1483</v>
      </c>
      <c r="L58" t="s">
        <v>1622</v>
      </c>
      <c r="M58" t="s">
        <v>210</v>
      </c>
      <c r="N58" t="s">
        <v>261</v>
      </c>
      <c r="O58" t="s">
        <v>210</v>
      </c>
      <c r="Q58" t="s">
        <v>210</v>
      </c>
      <c r="S58" t="s">
        <v>210</v>
      </c>
      <c r="T58" t="s">
        <v>1623</v>
      </c>
      <c r="U58" t="s">
        <v>210</v>
      </c>
      <c r="W58" t="s">
        <v>210</v>
      </c>
      <c r="Y58" t="s">
        <v>204</v>
      </c>
      <c r="AA58" t="s">
        <v>204</v>
      </c>
      <c r="AC58" t="s">
        <v>210</v>
      </c>
      <c r="AE58" t="s">
        <v>210</v>
      </c>
      <c r="AG58" t="s">
        <v>204</v>
      </c>
      <c r="AI58" t="s">
        <v>210</v>
      </c>
      <c r="AL58" s="21" t="str">
        <f t="shared" si="0"/>
        <v>no</v>
      </c>
      <c r="AM58" s="21" t="str">
        <f t="shared" si="1"/>
        <v>no</v>
      </c>
      <c r="AN58" s="21" t="str">
        <f t="shared" si="2"/>
        <v>no</v>
      </c>
      <c r="AO58" s="21" t="str">
        <f t="shared" si="3"/>
        <v>partial</v>
      </c>
      <c r="AP58" s="21" t="str">
        <f t="shared" si="4"/>
        <v>no</v>
      </c>
      <c r="AQ58" s="21" t="str">
        <f t="shared" si="5"/>
        <v>no</v>
      </c>
      <c r="AR58" s="21" t="str">
        <f t="shared" si="6"/>
        <v>no</v>
      </c>
      <c r="AS58" s="21" t="str">
        <f t="shared" si="7"/>
        <v>no</v>
      </c>
      <c r="AT58" s="21" t="str">
        <f t="shared" si="8"/>
        <v>no</v>
      </c>
      <c r="AU58" s="21" t="str">
        <f t="shared" si="9"/>
        <v>no</v>
      </c>
      <c r="AV58" s="21" t="str">
        <f t="shared" si="10"/>
        <v>n/a</v>
      </c>
      <c r="AW58" s="21" t="str">
        <f t="shared" si="11"/>
        <v>n/a</v>
      </c>
      <c r="AX58" s="21" t="str">
        <f t="shared" si="12"/>
        <v>no</v>
      </c>
      <c r="AY58" s="21" t="str">
        <f t="shared" si="13"/>
        <v>no</v>
      </c>
      <c r="AZ58" s="21" t="str">
        <f t="shared" si="14"/>
        <v>n/a</v>
      </c>
      <c r="BA58" s="21" t="str">
        <f t="shared" si="15"/>
        <v>no</v>
      </c>
      <c r="BB58" s="21" t="s">
        <v>210</v>
      </c>
      <c r="BC58" s="5">
        <f t="shared" si="16"/>
        <v>0</v>
      </c>
      <c r="BD58" s="5">
        <f t="shared" si="17"/>
        <v>1</v>
      </c>
      <c r="BE58" s="5">
        <f t="shared" si="18"/>
        <v>12</v>
      </c>
      <c r="BF58" s="5">
        <f t="shared" si="19"/>
        <v>0.5</v>
      </c>
      <c r="BG58" s="5">
        <f t="shared" si="20"/>
        <v>13</v>
      </c>
      <c r="BH58" s="34">
        <f t="shared" si="21"/>
        <v>3.8461538461538463</v>
      </c>
    </row>
    <row r="59" spans="1:60">
      <c r="B59" s="93" t="s">
        <v>1376</v>
      </c>
      <c r="C59" s="93">
        <v>2020</v>
      </c>
      <c r="D59" s="93" t="s">
        <v>1377</v>
      </c>
      <c r="E59" s="93" t="s">
        <v>200</v>
      </c>
      <c r="F59" s="35" t="s">
        <v>1624</v>
      </c>
      <c r="G59" t="s">
        <v>210</v>
      </c>
      <c r="H59" t="s">
        <v>1625</v>
      </c>
      <c r="I59" t="s">
        <v>200</v>
      </c>
      <c r="K59" t="s">
        <v>200</v>
      </c>
      <c r="M59" t="s">
        <v>200</v>
      </c>
      <c r="O59" t="s">
        <v>200</v>
      </c>
      <c r="Q59" t="s">
        <v>200</v>
      </c>
      <c r="S59" t="s">
        <v>200</v>
      </c>
      <c r="U59" t="s">
        <v>200</v>
      </c>
      <c r="W59" t="s">
        <v>210</v>
      </c>
      <c r="Y59" t="s">
        <v>200</v>
      </c>
      <c r="AA59" t="s">
        <v>204</v>
      </c>
      <c r="AC59" t="s">
        <v>200</v>
      </c>
      <c r="AD59" t="s">
        <v>1626</v>
      </c>
      <c r="AE59" t="s">
        <v>210</v>
      </c>
      <c r="AG59" t="s">
        <v>204</v>
      </c>
      <c r="AI59" t="s">
        <v>200</v>
      </c>
      <c r="AL59" s="21" t="str">
        <f t="shared" si="0"/>
        <v>yes</v>
      </c>
      <c r="AM59" s="21" t="str">
        <f t="shared" si="1"/>
        <v>no</v>
      </c>
      <c r="AN59" s="21" t="str">
        <f t="shared" si="2"/>
        <v>yes</v>
      </c>
      <c r="AO59" s="21" t="str">
        <f t="shared" si="3"/>
        <v>yes</v>
      </c>
      <c r="AP59" s="21" t="str">
        <f t="shared" si="4"/>
        <v>yes</v>
      </c>
      <c r="AQ59" s="21" t="str">
        <f t="shared" si="5"/>
        <v>yes</v>
      </c>
      <c r="AR59" s="21" t="str">
        <f t="shared" si="6"/>
        <v>yes</v>
      </c>
      <c r="AS59" s="21" t="str">
        <f t="shared" si="7"/>
        <v>yes</v>
      </c>
      <c r="AT59" s="21" t="str">
        <f t="shared" si="8"/>
        <v>yes</v>
      </c>
      <c r="AU59" s="21" t="str">
        <f t="shared" si="9"/>
        <v>no</v>
      </c>
      <c r="AV59" s="21" t="str">
        <f t="shared" si="10"/>
        <v>yes</v>
      </c>
      <c r="AW59" s="21" t="str">
        <f t="shared" si="11"/>
        <v>n/a</v>
      </c>
      <c r="AX59" s="21" t="str">
        <f t="shared" si="12"/>
        <v>yes</v>
      </c>
      <c r="AY59" s="21" t="str">
        <f t="shared" si="13"/>
        <v>no</v>
      </c>
      <c r="AZ59" s="21" t="str">
        <f t="shared" si="14"/>
        <v>n/a</v>
      </c>
      <c r="BA59" s="21" t="str">
        <f t="shared" si="15"/>
        <v>yes</v>
      </c>
      <c r="BB59" s="21" t="s">
        <v>210</v>
      </c>
      <c r="BC59" s="5">
        <f t="shared" si="16"/>
        <v>11</v>
      </c>
      <c r="BD59" s="5">
        <f t="shared" si="17"/>
        <v>0</v>
      </c>
      <c r="BE59" s="5">
        <f t="shared" si="18"/>
        <v>3</v>
      </c>
      <c r="BF59" s="5">
        <f t="shared" si="19"/>
        <v>11</v>
      </c>
      <c r="BG59" s="5">
        <f t="shared" si="20"/>
        <v>14</v>
      </c>
      <c r="BH59" s="34">
        <f t="shared" si="21"/>
        <v>78.571428571428569</v>
      </c>
    </row>
    <row r="60" spans="1:60">
      <c r="B60" s="93" t="s">
        <v>1387</v>
      </c>
      <c r="C60" s="93">
        <v>2015</v>
      </c>
      <c r="D60" s="93" t="s">
        <v>1388</v>
      </c>
      <c r="E60" s="93" t="s">
        <v>210</v>
      </c>
      <c r="F60" s="35" t="s">
        <v>1334</v>
      </c>
      <c r="G60" t="s">
        <v>210</v>
      </c>
      <c r="I60" t="s">
        <v>210</v>
      </c>
      <c r="K60" t="s">
        <v>1483</v>
      </c>
      <c r="L60" t="s">
        <v>1627</v>
      </c>
      <c r="M60" t="s">
        <v>210</v>
      </c>
      <c r="O60" t="s">
        <v>210</v>
      </c>
      <c r="P60" t="s">
        <v>1628</v>
      </c>
      <c r="Q60" t="s">
        <v>200</v>
      </c>
      <c r="S60" t="s">
        <v>210</v>
      </c>
      <c r="T60" t="s">
        <v>1629</v>
      </c>
      <c r="U60" t="s">
        <v>210</v>
      </c>
      <c r="V60" t="s">
        <v>1630</v>
      </c>
      <c r="W60" t="s">
        <v>210</v>
      </c>
      <c r="Y60" t="s">
        <v>204</v>
      </c>
      <c r="AA60" t="s">
        <v>204</v>
      </c>
      <c r="AC60" t="s">
        <v>210</v>
      </c>
      <c r="AE60" t="s">
        <v>210</v>
      </c>
      <c r="AG60" t="s">
        <v>204</v>
      </c>
      <c r="AI60" t="s">
        <v>200</v>
      </c>
      <c r="AL60" s="21" t="str">
        <f t="shared" si="0"/>
        <v>no</v>
      </c>
      <c r="AM60" s="21" t="str">
        <f t="shared" si="1"/>
        <v>no</v>
      </c>
      <c r="AN60" s="21" t="str">
        <f t="shared" si="2"/>
        <v>no</v>
      </c>
      <c r="AO60" s="21" t="str">
        <f t="shared" si="3"/>
        <v>partial</v>
      </c>
      <c r="AP60" s="21" t="str">
        <f t="shared" si="4"/>
        <v>no</v>
      </c>
      <c r="AQ60" s="21" t="str">
        <f t="shared" si="5"/>
        <v>no</v>
      </c>
      <c r="AR60" s="21" t="str">
        <f t="shared" si="6"/>
        <v>yes</v>
      </c>
      <c r="AS60" s="21" t="str">
        <f t="shared" si="7"/>
        <v>no</v>
      </c>
      <c r="AT60" s="21" t="str">
        <f t="shared" si="8"/>
        <v>no</v>
      </c>
      <c r="AU60" s="21" t="str">
        <f t="shared" si="9"/>
        <v>no</v>
      </c>
      <c r="AV60" s="21" t="str">
        <f t="shared" si="10"/>
        <v>n/a</v>
      </c>
      <c r="AW60" s="21" t="str">
        <f t="shared" si="11"/>
        <v>n/a</v>
      </c>
      <c r="AX60" s="21" t="str">
        <f t="shared" si="12"/>
        <v>no</v>
      </c>
      <c r="AY60" s="21" t="str">
        <f t="shared" si="13"/>
        <v>no</v>
      </c>
      <c r="AZ60" s="21" t="str">
        <f t="shared" si="14"/>
        <v>n/a</v>
      </c>
      <c r="BA60" s="21" t="str">
        <f t="shared" si="15"/>
        <v>yes</v>
      </c>
      <c r="BB60" s="21" t="s">
        <v>210</v>
      </c>
      <c r="BC60" s="5">
        <f t="shared" si="16"/>
        <v>2</v>
      </c>
      <c r="BD60" s="5">
        <f t="shared" si="17"/>
        <v>1</v>
      </c>
      <c r="BE60" s="5">
        <f t="shared" si="18"/>
        <v>10</v>
      </c>
      <c r="BF60" s="5">
        <f t="shared" si="19"/>
        <v>2.5</v>
      </c>
      <c r="BG60" s="5">
        <f t="shared" si="20"/>
        <v>13</v>
      </c>
      <c r="BH60" s="34">
        <f t="shared" si="21"/>
        <v>19.230769230769234</v>
      </c>
    </row>
    <row r="61" spans="1:60">
      <c r="B61" s="93" t="s">
        <v>1395</v>
      </c>
      <c r="C61" s="93">
        <v>2020</v>
      </c>
      <c r="D61" s="93" t="s">
        <v>1396</v>
      </c>
      <c r="E61" s="93" t="s">
        <v>200</v>
      </c>
      <c r="F61" s="35"/>
      <c r="G61" t="s">
        <v>200</v>
      </c>
      <c r="I61" t="s">
        <v>200</v>
      </c>
      <c r="K61" t="s">
        <v>1483</v>
      </c>
      <c r="L61" t="s">
        <v>1631</v>
      </c>
      <c r="M61" t="s">
        <v>200</v>
      </c>
      <c r="O61" t="s">
        <v>200</v>
      </c>
      <c r="Q61" t="s">
        <v>210</v>
      </c>
      <c r="S61" t="s">
        <v>200</v>
      </c>
      <c r="U61" t="s">
        <v>200</v>
      </c>
      <c r="W61" t="s">
        <v>210</v>
      </c>
      <c r="Y61" t="s">
        <v>204</v>
      </c>
      <c r="AA61" t="s">
        <v>204</v>
      </c>
      <c r="AC61" t="s">
        <v>210</v>
      </c>
      <c r="AE61" t="s">
        <v>200</v>
      </c>
      <c r="AG61" t="s">
        <v>204</v>
      </c>
      <c r="AI61" t="s">
        <v>200</v>
      </c>
      <c r="AL61" s="21" t="str">
        <f t="shared" si="0"/>
        <v>yes</v>
      </c>
      <c r="AM61" s="21" t="str">
        <f t="shared" si="1"/>
        <v>yes</v>
      </c>
      <c r="AN61" s="21" t="str">
        <f t="shared" si="2"/>
        <v>yes</v>
      </c>
      <c r="AO61" s="21" t="str">
        <f t="shared" si="3"/>
        <v>partial</v>
      </c>
      <c r="AP61" s="21" t="str">
        <f t="shared" si="4"/>
        <v>yes</v>
      </c>
      <c r="AQ61" s="21" t="str">
        <f t="shared" si="5"/>
        <v>yes</v>
      </c>
      <c r="AR61" s="21" t="str">
        <f t="shared" si="6"/>
        <v>no</v>
      </c>
      <c r="AS61" s="21" t="str">
        <f t="shared" si="7"/>
        <v>yes</v>
      </c>
      <c r="AT61" s="21" t="str">
        <f t="shared" si="8"/>
        <v>yes</v>
      </c>
      <c r="AU61" s="21" t="str">
        <f t="shared" si="9"/>
        <v>no</v>
      </c>
      <c r="AV61" s="21" t="str">
        <f t="shared" si="10"/>
        <v>n/a</v>
      </c>
      <c r="AW61" s="21" t="str">
        <f t="shared" si="11"/>
        <v>n/a</v>
      </c>
      <c r="AX61" s="21" t="str">
        <f t="shared" si="12"/>
        <v>no</v>
      </c>
      <c r="AY61" s="21" t="str">
        <f t="shared" si="13"/>
        <v>yes</v>
      </c>
      <c r="AZ61" s="21" t="str">
        <f t="shared" si="14"/>
        <v>n/a</v>
      </c>
      <c r="BA61" s="21" t="str">
        <f t="shared" si="15"/>
        <v>yes</v>
      </c>
      <c r="BB61" s="21" t="s">
        <v>210</v>
      </c>
      <c r="BC61" s="5">
        <f t="shared" si="16"/>
        <v>9</v>
      </c>
      <c r="BD61" s="5">
        <f t="shared" si="17"/>
        <v>1</v>
      </c>
      <c r="BE61" s="5">
        <f t="shared" si="18"/>
        <v>3</v>
      </c>
      <c r="BF61" s="5">
        <f t="shared" si="19"/>
        <v>9.5</v>
      </c>
      <c r="BG61" s="5">
        <f t="shared" si="20"/>
        <v>13</v>
      </c>
      <c r="BH61" s="34">
        <f t="shared" si="21"/>
        <v>73.076923076923066</v>
      </c>
    </row>
    <row r="62" spans="1:60">
      <c r="B62" s="93" t="s">
        <v>1405</v>
      </c>
      <c r="C62" s="93">
        <v>2014</v>
      </c>
      <c r="D62" s="93" t="s">
        <v>1406</v>
      </c>
      <c r="E62" s="93" t="s">
        <v>200</v>
      </c>
      <c r="F62" s="35"/>
      <c r="G62" t="s">
        <v>210</v>
      </c>
      <c r="I62" t="s">
        <v>200</v>
      </c>
      <c r="K62" t="s">
        <v>210</v>
      </c>
      <c r="L62" t="s">
        <v>1632</v>
      </c>
      <c r="M62" t="s">
        <v>200</v>
      </c>
      <c r="N62" t="s">
        <v>1633</v>
      </c>
      <c r="O62" t="s">
        <v>200</v>
      </c>
      <c r="Q62" t="s">
        <v>210</v>
      </c>
      <c r="S62" t="s">
        <v>210</v>
      </c>
      <c r="T62" t="s">
        <v>1634</v>
      </c>
      <c r="U62" t="s">
        <v>200</v>
      </c>
      <c r="W62" t="s">
        <v>210</v>
      </c>
      <c r="Y62" t="s">
        <v>200</v>
      </c>
      <c r="AA62" t="s">
        <v>200</v>
      </c>
      <c r="AC62" t="s">
        <v>200</v>
      </c>
      <c r="AE62" t="s">
        <v>200</v>
      </c>
      <c r="AG62" t="s">
        <v>200</v>
      </c>
      <c r="AI62" t="s">
        <v>200</v>
      </c>
      <c r="AL62" s="21" t="str">
        <f t="shared" si="0"/>
        <v>yes</v>
      </c>
      <c r="AM62" s="21" t="str">
        <f t="shared" si="1"/>
        <v>no</v>
      </c>
      <c r="AN62" s="21" t="str">
        <f t="shared" si="2"/>
        <v>yes</v>
      </c>
      <c r="AO62" s="21" t="str">
        <f t="shared" si="3"/>
        <v>no</v>
      </c>
      <c r="AP62" s="21" t="str">
        <f t="shared" si="4"/>
        <v>yes</v>
      </c>
      <c r="AQ62" s="21" t="str">
        <f t="shared" si="5"/>
        <v>yes</v>
      </c>
      <c r="AR62" s="21" t="str">
        <f t="shared" si="6"/>
        <v>no</v>
      </c>
      <c r="AS62" s="21" t="str">
        <f t="shared" si="7"/>
        <v>no</v>
      </c>
      <c r="AT62" s="21" t="str">
        <f t="shared" si="8"/>
        <v>yes</v>
      </c>
      <c r="AU62" s="21" t="str">
        <f t="shared" si="9"/>
        <v>no</v>
      </c>
      <c r="AV62" s="21" t="str">
        <f t="shared" si="10"/>
        <v>yes</v>
      </c>
      <c r="AW62" s="21" t="str">
        <f t="shared" si="11"/>
        <v>yes</v>
      </c>
      <c r="AX62" s="21" t="str">
        <f t="shared" si="12"/>
        <v>yes</v>
      </c>
      <c r="AY62" s="21" t="str">
        <f t="shared" si="13"/>
        <v>yes</v>
      </c>
      <c r="AZ62" s="21" t="str">
        <f t="shared" si="14"/>
        <v>yes</v>
      </c>
      <c r="BA62" s="21" t="str">
        <f t="shared" si="15"/>
        <v>yes</v>
      </c>
      <c r="BB62" s="21" t="s">
        <v>210</v>
      </c>
      <c r="BC62" s="5">
        <f t="shared" si="16"/>
        <v>11</v>
      </c>
      <c r="BD62" s="5">
        <f t="shared" si="17"/>
        <v>0</v>
      </c>
      <c r="BE62" s="5">
        <f t="shared" si="18"/>
        <v>5</v>
      </c>
      <c r="BF62" s="5">
        <f t="shared" si="19"/>
        <v>11</v>
      </c>
      <c r="BG62" s="5">
        <f t="shared" si="20"/>
        <v>16</v>
      </c>
      <c r="BH62" s="34">
        <f t="shared" si="21"/>
        <v>68.75</v>
      </c>
    </row>
    <row r="63" spans="1:60">
      <c r="B63" s="93" t="s">
        <v>1413</v>
      </c>
      <c r="C63" s="93">
        <v>2020</v>
      </c>
      <c r="D63" s="93" t="s">
        <v>1414</v>
      </c>
      <c r="E63" s="93" t="s">
        <v>200</v>
      </c>
      <c r="F63" s="35"/>
      <c r="G63" t="s">
        <v>200</v>
      </c>
      <c r="I63" t="s">
        <v>210</v>
      </c>
      <c r="J63" t="s">
        <v>1635</v>
      </c>
      <c r="K63" t="s">
        <v>210</v>
      </c>
      <c r="L63" t="s">
        <v>1636</v>
      </c>
      <c r="M63" t="s">
        <v>200</v>
      </c>
      <c r="O63" t="s">
        <v>200</v>
      </c>
      <c r="P63" t="s">
        <v>1637</v>
      </c>
      <c r="Q63" t="s">
        <v>210</v>
      </c>
      <c r="S63" t="s">
        <v>210</v>
      </c>
      <c r="T63" t="s">
        <v>1638</v>
      </c>
      <c r="U63" t="s">
        <v>200</v>
      </c>
      <c r="W63" t="s">
        <v>210</v>
      </c>
      <c r="Y63" t="s">
        <v>200</v>
      </c>
      <c r="AA63" t="s">
        <v>210</v>
      </c>
      <c r="AC63" t="s">
        <v>210</v>
      </c>
      <c r="AE63" t="s">
        <v>200</v>
      </c>
      <c r="AG63" t="s">
        <v>210</v>
      </c>
      <c r="AI63" t="s">
        <v>200</v>
      </c>
      <c r="AL63" s="161" t="str">
        <f t="shared" si="0"/>
        <v>yes</v>
      </c>
      <c r="AM63" s="161" t="str">
        <f t="shared" si="1"/>
        <v>yes</v>
      </c>
      <c r="AN63" s="161" t="str">
        <f t="shared" si="2"/>
        <v>no</v>
      </c>
      <c r="AO63" s="161" t="str">
        <f t="shared" si="3"/>
        <v>no</v>
      </c>
      <c r="AP63" s="161" t="str">
        <f t="shared" si="4"/>
        <v>yes</v>
      </c>
      <c r="AQ63" s="161" t="str">
        <f t="shared" si="5"/>
        <v>yes</v>
      </c>
      <c r="AR63" s="161" t="str">
        <f t="shared" si="6"/>
        <v>no</v>
      </c>
      <c r="AS63" s="161" t="str">
        <f t="shared" si="7"/>
        <v>no</v>
      </c>
      <c r="AT63" s="161" t="str">
        <f t="shared" si="8"/>
        <v>yes</v>
      </c>
      <c r="AU63" s="161" t="str">
        <f t="shared" si="9"/>
        <v>no</v>
      </c>
      <c r="AV63" s="161" t="str">
        <f t="shared" si="10"/>
        <v>yes</v>
      </c>
      <c r="AW63" s="161" t="str">
        <f t="shared" si="11"/>
        <v>no</v>
      </c>
      <c r="AX63" s="161" t="str">
        <f t="shared" si="12"/>
        <v>no</v>
      </c>
      <c r="AY63" s="161" t="str">
        <f t="shared" si="13"/>
        <v>yes</v>
      </c>
      <c r="AZ63" s="161" t="str">
        <f t="shared" si="14"/>
        <v>no</v>
      </c>
      <c r="BA63" s="161" t="str">
        <f t="shared" si="15"/>
        <v>yes</v>
      </c>
      <c r="BB63" s="161" t="s">
        <v>210</v>
      </c>
      <c r="BC63" s="5">
        <f t="shared" si="16"/>
        <v>8</v>
      </c>
      <c r="BD63" s="5">
        <f t="shared" si="17"/>
        <v>0</v>
      </c>
      <c r="BE63" s="5">
        <f t="shared" si="18"/>
        <v>8</v>
      </c>
      <c r="BF63" s="5">
        <f t="shared" si="19"/>
        <v>8</v>
      </c>
      <c r="BG63" s="5">
        <f t="shared" si="20"/>
        <v>16</v>
      </c>
      <c r="BH63" s="34">
        <f t="shared" si="21"/>
        <v>50</v>
      </c>
    </row>
    <row r="64" spans="1:60">
      <c r="A64" s="157"/>
      <c r="B64" s="157"/>
      <c r="C64" s="157"/>
      <c r="D64" s="157"/>
      <c r="E64" s="157"/>
      <c r="F64" s="157"/>
      <c r="AK64" s="93" t="s">
        <v>1639</v>
      </c>
      <c r="AL64" s="160">
        <f>COUNTIF(AL4:AL55, "partial")</f>
        <v>0</v>
      </c>
      <c r="AM64" s="160">
        <f t="shared" ref="AM64:AR64" si="22">COUNTIF(AM4:AM55, "partial")</f>
        <v>6</v>
      </c>
      <c r="AN64" s="160">
        <f t="shared" si="22"/>
        <v>0</v>
      </c>
      <c r="AO64" s="160">
        <f t="shared" si="22"/>
        <v>36</v>
      </c>
      <c r="AP64" s="160">
        <f t="shared" si="22"/>
        <v>0</v>
      </c>
      <c r="AQ64" s="160">
        <f t="shared" si="22"/>
        <v>0</v>
      </c>
      <c r="AR64" s="160">
        <f t="shared" si="22"/>
        <v>0</v>
      </c>
      <c r="AS64" s="160">
        <f t="shared" ref="AS64:BA64" si="23">COUNTIF(AS4:AS55, "partial")</f>
        <v>8</v>
      </c>
      <c r="AT64" s="160">
        <f t="shared" si="23"/>
        <v>3</v>
      </c>
      <c r="AU64" s="160">
        <f t="shared" si="23"/>
        <v>0</v>
      </c>
      <c r="AV64" s="160">
        <f t="shared" si="23"/>
        <v>0</v>
      </c>
      <c r="AW64" s="160">
        <f t="shared" si="23"/>
        <v>0</v>
      </c>
      <c r="AX64" s="160">
        <f t="shared" si="23"/>
        <v>1</v>
      </c>
      <c r="AY64" s="160">
        <f t="shared" si="23"/>
        <v>0</v>
      </c>
      <c r="AZ64" s="160">
        <f t="shared" si="23"/>
        <v>0</v>
      </c>
      <c r="BA64" s="160">
        <f t="shared" si="23"/>
        <v>0</v>
      </c>
      <c r="BB64" s="160">
        <f t="shared" ref="BB64" si="24">COUNTIF(BB4:BB55, "partial")</f>
        <v>0</v>
      </c>
    </row>
    <row r="65" spans="1:60">
      <c r="A65" s="157"/>
      <c r="B65" s="157"/>
      <c r="C65" s="157"/>
      <c r="D65" s="157"/>
      <c r="E65" s="157"/>
      <c r="F65" s="157"/>
      <c r="AK65" s="93" t="s">
        <v>1640</v>
      </c>
      <c r="AL65" s="160">
        <f>COUNTIF(AL4:AL55, "no")</f>
        <v>27</v>
      </c>
      <c r="AM65" s="160">
        <f t="shared" ref="AM65:AR65" si="25">COUNTIF(AM4:AM55, "no")</f>
        <v>42</v>
      </c>
      <c r="AN65" s="160">
        <f t="shared" si="25"/>
        <v>30</v>
      </c>
      <c r="AO65" s="160">
        <f t="shared" si="25"/>
        <v>4</v>
      </c>
      <c r="AP65" s="160">
        <f t="shared" si="25"/>
        <v>30</v>
      </c>
      <c r="AQ65" s="160">
        <f t="shared" si="25"/>
        <v>43</v>
      </c>
      <c r="AR65" s="160">
        <f t="shared" si="25"/>
        <v>48</v>
      </c>
      <c r="AS65" s="160">
        <f t="shared" ref="AS65:BA65" si="26">COUNTIF(AS4:AS55, "no")</f>
        <v>25</v>
      </c>
      <c r="AT65" s="160">
        <f t="shared" si="26"/>
        <v>25</v>
      </c>
      <c r="AU65" s="160">
        <f t="shared" si="26"/>
        <v>50</v>
      </c>
      <c r="AV65" s="160">
        <f t="shared" si="26"/>
        <v>0</v>
      </c>
      <c r="AW65" s="160">
        <f t="shared" si="26"/>
        <v>5</v>
      </c>
      <c r="AX65" s="160">
        <f t="shared" si="26"/>
        <v>29</v>
      </c>
      <c r="AY65" s="160">
        <f t="shared" si="26"/>
        <v>29</v>
      </c>
      <c r="AZ65" s="160">
        <f t="shared" si="26"/>
        <v>4</v>
      </c>
      <c r="BA65" s="160">
        <f t="shared" si="26"/>
        <v>21</v>
      </c>
      <c r="BB65" s="160">
        <f t="shared" ref="BB65" si="27">COUNTIF(BB4:BB55, "no")</f>
        <v>39</v>
      </c>
    </row>
    <row r="66" spans="1:60">
      <c r="A66" s="157"/>
      <c r="B66" s="157"/>
      <c r="C66" s="157"/>
      <c r="D66" s="157"/>
      <c r="E66" s="157"/>
      <c r="F66" s="157"/>
      <c r="AK66" s="93" t="s">
        <v>1641</v>
      </c>
      <c r="AL66" s="160">
        <f>COUNTIF(AL4:AL55, "n/a")</f>
        <v>0</v>
      </c>
      <c r="AM66" s="160">
        <f t="shared" ref="AM66:BA66" si="28">COUNTIF(AM4:AM55, "n/a")</f>
        <v>0</v>
      </c>
      <c r="AN66" s="160">
        <f t="shared" si="28"/>
        <v>0</v>
      </c>
      <c r="AO66" s="160">
        <f t="shared" si="28"/>
        <v>0</v>
      </c>
      <c r="AP66" s="160">
        <f t="shared" si="28"/>
        <v>0</v>
      </c>
      <c r="AQ66" s="160">
        <f t="shared" si="28"/>
        <v>0</v>
      </c>
      <c r="AR66" s="160">
        <f t="shared" si="28"/>
        <v>0</v>
      </c>
      <c r="AS66" s="160">
        <f t="shared" si="28"/>
        <v>0</v>
      </c>
      <c r="AT66" s="160">
        <f t="shared" si="28"/>
        <v>0</v>
      </c>
      <c r="AU66" s="160">
        <f t="shared" si="28"/>
        <v>0</v>
      </c>
      <c r="AV66" s="160">
        <f t="shared" si="28"/>
        <v>44</v>
      </c>
      <c r="AW66" s="160">
        <f t="shared" si="28"/>
        <v>44</v>
      </c>
      <c r="AX66" s="160">
        <f t="shared" si="28"/>
        <v>0</v>
      </c>
      <c r="AY66" s="160">
        <f t="shared" si="28"/>
        <v>1</v>
      </c>
      <c r="AZ66" s="160">
        <f t="shared" si="28"/>
        <v>45</v>
      </c>
      <c r="BA66" s="160">
        <f t="shared" si="28"/>
        <v>0</v>
      </c>
      <c r="BB66" s="160">
        <f t="shared" ref="BB66" si="29">COUNTIF(BB4:BB55, "n/a")</f>
        <v>0</v>
      </c>
    </row>
    <row r="67" spans="1:60">
      <c r="A67" s="157"/>
      <c r="B67" s="157"/>
      <c r="C67" s="157"/>
      <c r="D67" s="157"/>
      <c r="E67" s="157"/>
      <c r="F67" s="157"/>
      <c r="AK67" s="93" t="s">
        <v>1642</v>
      </c>
      <c r="AL67" s="160">
        <f>SUM(AL64:AL66)</f>
        <v>27</v>
      </c>
      <c r="AM67" s="160">
        <f>SUM(AM64:AM66)</f>
        <v>48</v>
      </c>
      <c r="AN67" s="160">
        <f>SUM(AN64:AN66)</f>
        <v>30</v>
      </c>
      <c r="AO67" s="160">
        <f>SUM(AO64:AO66)</f>
        <v>40</v>
      </c>
      <c r="AP67" s="160">
        <f>SUM(AP64:AP66)</f>
        <v>30</v>
      </c>
      <c r="AQ67" s="160">
        <f>SUM(AQ64:AQ66)</f>
        <v>43</v>
      </c>
      <c r="AR67" s="160">
        <f>SUM(AR64:AR66)</f>
        <v>48</v>
      </c>
      <c r="AS67" s="160">
        <f>SUM(AS64:AS66)</f>
        <v>33</v>
      </c>
      <c r="AT67" s="160">
        <f>SUM(AT64:AT66)</f>
        <v>28</v>
      </c>
      <c r="AU67" s="160">
        <f>SUM(AU64:AU66)</f>
        <v>50</v>
      </c>
      <c r="AV67" s="160">
        <f>SUM(AV64:AV66)</f>
        <v>44</v>
      </c>
      <c r="AW67" s="160">
        <f>SUM(AW64:AW66)</f>
        <v>49</v>
      </c>
      <c r="AX67" s="160">
        <f>SUM(AX64:AX66)</f>
        <v>30</v>
      </c>
      <c r="AY67" s="160">
        <f>SUM(AY64:AY66)</f>
        <v>30</v>
      </c>
      <c r="AZ67" s="160">
        <f>SUM(AZ64:AZ66)</f>
        <v>49</v>
      </c>
      <c r="BA67" s="160">
        <f>SUM(BA64:BA66)</f>
        <v>21</v>
      </c>
      <c r="BB67" s="160">
        <f>SUM(BB64:BB66)</f>
        <v>39</v>
      </c>
    </row>
    <row r="68" spans="1:60">
      <c r="A68" s="157"/>
      <c r="B68" s="157"/>
      <c r="C68" s="157"/>
      <c r="D68" s="157"/>
      <c r="E68" s="157"/>
      <c r="F68" s="157"/>
      <c r="AK68" s="93" t="s">
        <v>1643</v>
      </c>
      <c r="AL68" s="162">
        <f>SUM(AL65/AL67)*100</f>
        <v>100</v>
      </c>
      <c r="AM68" s="162">
        <f>SUM(AM65/AM67)*100</f>
        <v>87.5</v>
      </c>
      <c r="AN68" s="162">
        <f>SUM(AN65/AN67)*100</f>
        <v>100</v>
      </c>
      <c r="AO68" s="162">
        <f>SUM(AO65/AO67)*100</f>
        <v>10</v>
      </c>
      <c r="AP68" s="162">
        <f>SUM(AP65/AP67)*100</f>
        <v>100</v>
      </c>
      <c r="AQ68" s="162">
        <f>SUM(AQ65/AQ67)*100</f>
        <v>100</v>
      </c>
      <c r="AR68" s="162">
        <f>SUM(AR65/AR67)*100</f>
        <v>100</v>
      </c>
      <c r="AS68" s="162">
        <f>SUM(AS65/AS67)*100</f>
        <v>75.757575757575751</v>
      </c>
      <c r="AT68" s="162">
        <f>SUM(AT65/AT67)*100</f>
        <v>89.285714285714292</v>
      </c>
      <c r="AU68" s="162">
        <f>SUM(AU65/AU67)*100</f>
        <v>100</v>
      </c>
      <c r="AV68" s="162">
        <f t="shared" ref="AV68:AW68" si="30">SUM(AV65/AV67)*100</f>
        <v>0</v>
      </c>
      <c r="AW68" s="162">
        <f t="shared" si="30"/>
        <v>10.204081632653061</v>
      </c>
      <c r="AX68" s="162">
        <f>SUM(AX65/AX67)*100</f>
        <v>96.666666666666671</v>
      </c>
      <c r="AY68" s="162">
        <f>SUM(AY65/AY67)*100</f>
        <v>96.666666666666671</v>
      </c>
      <c r="AZ68" s="162">
        <f>SUM(AZ65/AZ67)*100</f>
        <v>8.1632653061224492</v>
      </c>
      <c r="BA68" s="162">
        <f>SUM(BA65/BA67)*100</f>
        <v>100</v>
      </c>
      <c r="BB68" s="162">
        <f>SUM(BB65/BB67)*100</f>
        <v>100</v>
      </c>
    </row>
    <row r="69" spans="1:60">
      <c r="A69" s="157"/>
      <c r="B69" s="157"/>
      <c r="C69" s="157"/>
      <c r="D69" s="157"/>
      <c r="E69" s="157"/>
      <c r="F69" s="157"/>
      <c r="AL69"/>
      <c r="AM69"/>
      <c r="AN69"/>
      <c r="AO69"/>
      <c r="AP69"/>
      <c r="AQ69"/>
      <c r="AR69"/>
      <c r="AS69"/>
      <c r="AT69"/>
      <c r="AU69"/>
      <c r="AV69"/>
      <c r="AW69"/>
      <c r="AX69"/>
      <c r="AY69"/>
      <c r="AZ69"/>
      <c r="BA69"/>
      <c r="BB69"/>
    </row>
    <row r="70" spans="1:60">
      <c r="A70" s="157"/>
      <c r="B70" s="157"/>
      <c r="C70" s="157"/>
      <c r="D70" s="157"/>
      <c r="E70" s="157"/>
      <c r="F70" s="157"/>
      <c r="AL70"/>
      <c r="AM70"/>
      <c r="AN70"/>
      <c r="AO70"/>
      <c r="AP70"/>
      <c r="AQ70"/>
      <c r="AR70"/>
      <c r="AS70"/>
      <c r="AT70"/>
      <c r="AU70"/>
      <c r="AV70"/>
      <c r="AW70"/>
      <c r="AX70"/>
      <c r="AY70"/>
      <c r="AZ70"/>
      <c r="BA70"/>
      <c r="BB70"/>
    </row>
    <row r="71" spans="1:60" ht="30">
      <c r="B71" s="159" t="s">
        <v>1644</v>
      </c>
      <c r="C71" s="42"/>
      <c r="D71" s="42"/>
      <c r="E71" s="42"/>
      <c r="AL71"/>
      <c r="AM71"/>
      <c r="AN71"/>
      <c r="AO71"/>
      <c r="AP71"/>
      <c r="AQ71"/>
      <c r="AR71"/>
      <c r="AS71"/>
      <c r="AT71"/>
      <c r="AU71"/>
      <c r="AV71"/>
      <c r="AW71"/>
      <c r="AX71"/>
      <c r="AY71"/>
      <c r="AZ71"/>
      <c r="BA71"/>
      <c r="BB71"/>
    </row>
    <row r="72" spans="1:60">
      <c r="B72" s="5" t="s">
        <v>379</v>
      </c>
      <c r="C72" s="5">
        <v>2010</v>
      </c>
      <c r="D72" s="5" t="s">
        <v>398</v>
      </c>
      <c r="E72" s="5" t="s">
        <v>1489</v>
      </c>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t="s">
        <v>1489</v>
      </c>
      <c r="AL72" s="21" t="str">
        <f>E72</f>
        <v>.</v>
      </c>
      <c r="AM72" s="21">
        <f>G72</f>
        <v>0</v>
      </c>
      <c r="AN72" s="21">
        <f>I72</f>
        <v>0</v>
      </c>
      <c r="AO72" s="21">
        <f>K72</f>
        <v>0</v>
      </c>
      <c r="AP72" s="21">
        <f>M72</f>
        <v>0</v>
      </c>
      <c r="AQ72" s="21">
        <f>O72</f>
        <v>0</v>
      </c>
      <c r="AR72" s="21">
        <f>Q72</f>
        <v>0</v>
      </c>
      <c r="AS72" s="21">
        <f>S72</f>
        <v>0</v>
      </c>
      <c r="AT72" s="21">
        <f>U72</f>
        <v>0</v>
      </c>
      <c r="AU72" s="21">
        <f>W72</f>
        <v>0</v>
      </c>
      <c r="AV72" s="21">
        <f>Y72</f>
        <v>0</v>
      </c>
      <c r="AW72" s="21">
        <f>AA72</f>
        <v>0</v>
      </c>
      <c r="AX72" s="21">
        <f>AC72</f>
        <v>0</v>
      </c>
      <c r="AY72" s="21">
        <f>AE72</f>
        <v>0</v>
      </c>
      <c r="AZ72" s="21">
        <f>AG72</f>
        <v>0</v>
      </c>
      <c r="BA72" s="21">
        <f>AI72</f>
        <v>0</v>
      </c>
      <c r="BB72" s="21"/>
      <c r="BC72" s="5">
        <f>COUNTIF(AL72:BA72, "Yes")</f>
        <v>0</v>
      </c>
      <c r="BD72" s="5">
        <f>COUNTIF(AL72:BA72, "Partial")</f>
        <v>0</v>
      </c>
      <c r="BE72" s="5">
        <f>COUNTIF(AL72:BA72, "No")</f>
        <v>0</v>
      </c>
      <c r="BF72" s="5">
        <f>SUM(BC72+(BD72/2))</f>
        <v>0</v>
      </c>
      <c r="BG72" s="5">
        <f>SUM(BC72:BE72)</f>
        <v>0</v>
      </c>
      <c r="BH72" s="34" t="e">
        <f>SUM(BF72/BG72)*100</f>
        <v>#DIV/0!</v>
      </c>
    </row>
    <row r="73" spans="1:60">
      <c r="B73" s="5" t="s">
        <v>379</v>
      </c>
      <c r="C73" s="5">
        <v>2018</v>
      </c>
      <c r="D73" s="5" t="s">
        <v>400</v>
      </c>
      <c r="E73" s="5" t="s">
        <v>1489</v>
      </c>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t="s">
        <v>1489</v>
      </c>
      <c r="AL73" s="21" t="str">
        <f>E73</f>
        <v>.</v>
      </c>
      <c r="AM73" s="21">
        <f>G73</f>
        <v>0</v>
      </c>
      <c r="AN73" s="21">
        <f>I73</f>
        <v>0</v>
      </c>
      <c r="AO73" s="21">
        <f>K73</f>
        <v>0</v>
      </c>
      <c r="AP73" s="21">
        <f>M73</f>
        <v>0</v>
      </c>
      <c r="AQ73" s="21">
        <f>O73</f>
        <v>0</v>
      </c>
      <c r="AR73" s="21">
        <f>Q73</f>
        <v>0</v>
      </c>
      <c r="AS73" s="21">
        <f>S73</f>
        <v>0</v>
      </c>
      <c r="AT73" s="21">
        <f>U73</f>
        <v>0</v>
      </c>
      <c r="AU73" s="21">
        <f>W73</f>
        <v>0</v>
      </c>
      <c r="AV73" s="21">
        <f>Y73</f>
        <v>0</v>
      </c>
      <c r="AW73" s="21">
        <f>AA73</f>
        <v>0</v>
      </c>
      <c r="AX73" s="21">
        <f>AC73</f>
        <v>0</v>
      </c>
      <c r="AY73" s="21">
        <f>AE73</f>
        <v>0</v>
      </c>
      <c r="AZ73" s="21">
        <f>AG73</f>
        <v>0</v>
      </c>
      <c r="BA73" s="21">
        <f>AI73</f>
        <v>0</v>
      </c>
      <c r="BB73" s="21"/>
      <c r="BC73" s="5">
        <f>COUNTIF(AL73:BA73, "Yes")</f>
        <v>0</v>
      </c>
      <c r="BD73" s="5">
        <f>COUNTIF(AL73:BA73, "Partial")</f>
        <v>0</v>
      </c>
      <c r="BE73" s="5">
        <f>COUNTIF(AL73:BA73, "No")</f>
        <v>0</v>
      </c>
      <c r="BF73" s="5">
        <f>SUM(BC73+(BD73/2))</f>
        <v>0</v>
      </c>
      <c r="BG73" s="5">
        <f>SUM(BC73:BE73)</f>
        <v>0</v>
      </c>
      <c r="BH73" s="34" t="e">
        <f>SUM(BF73/BG73)*100</f>
        <v>#DIV/0!</v>
      </c>
    </row>
    <row r="74" spans="1:60">
      <c r="B74" s="5" t="s">
        <v>951</v>
      </c>
      <c r="C74" s="5">
        <v>2015</v>
      </c>
      <c r="D74" s="5" t="s">
        <v>952</v>
      </c>
      <c r="E74" s="5" t="s">
        <v>210</v>
      </c>
      <c r="F74" s="5" t="s">
        <v>1645</v>
      </c>
      <c r="G74" s="5" t="s">
        <v>210</v>
      </c>
      <c r="H74" s="5"/>
      <c r="I74" s="5" t="s">
        <v>210</v>
      </c>
      <c r="J74" s="5"/>
      <c r="K74" s="5" t="s">
        <v>1483</v>
      </c>
      <c r="L74" s="5"/>
      <c r="M74" s="5" t="s">
        <v>210</v>
      </c>
      <c r="N74" s="5"/>
      <c r="O74" s="5" t="s">
        <v>210</v>
      </c>
      <c r="P74" s="5"/>
      <c r="Q74" s="5" t="s">
        <v>210</v>
      </c>
      <c r="R74" s="5"/>
      <c r="S74" s="5" t="s">
        <v>210</v>
      </c>
      <c r="T74" s="5"/>
      <c r="U74" s="5" t="s">
        <v>200</v>
      </c>
      <c r="V74" s="5"/>
      <c r="W74" s="5" t="s">
        <v>210</v>
      </c>
      <c r="X74" s="5"/>
      <c r="Y74" s="5" t="s">
        <v>204</v>
      </c>
      <c r="Z74" s="5"/>
      <c r="AA74" s="5" t="s">
        <v>204</v>
      </c>
      <c r="AB74" s="5"/>
      <c r="AC74" s="5" t="s">
        <v>210</v>
      </c>
      <c r="AD74" s="5"/>
      <c r="AE74" s="5" t="s">
        <v>210</v>
      </c>
      <c r="AF74" s="5"/>
      <c r="AG74" s="5" t="s">
        <v>204</v>
      </c>
      <c r="AH74" s="5"/>
      <c r="AI74" s="5" t="s">
        <v>210</v>
      </c>
      <c r="AJ74" s="5"/>
      <c r="AK74" s="5" t="s">
        <v>1489</v>
      </c>
      <c r="AL74" s="21" t="str">
        <f>E74</f>
        <v>no</v>
      </c>
      <c r="AM74" s="21" t="str">
        <f>G74</f>
        <v>no</v>
      </c>
      <c r="AN74" s="21" t="str">
        <f>I74</f>
        <v>no</v>
      </c>
      <c r="AO74" s="21" t="str">
        <f>K74</f>
        <v>partial</v>
      </c>
      <c r="AP74" s="21" t="str">
        <f>M74</f>
        <v>no</v>
      </c>
      <c r="AQ74" s="21" t="str">
        <f>O74</f>
        <v>no</v>
      </c>
      <c r="AR74" s="21" t="str">
        <f>Q74</f>
        <v>no</v>
      </c>
      <c r="AS74" s="21" t="str">
        <f>S74</f>
        <v>no</v>
      </c>
      <c r="AT74" s="21" t="str">
        <f>U74</f>
        <v>yes</v>
      </c>
      <c r="AU74" s="21" t="str">
        <f>W74</f>
        <v>no</v>
      </c>
      <c r="AV74" s="21" t="str">
        <f>Y74</f>
        <v>n/a</v>
      </c>
      <c r="AW74" s="21" t="str">
        <f>AA74</f>
        <v>n/a</v>
      </c>
      <c r="AX74" s="21" t="str">
        <f>AC74</f>
        <v>no</v>
      </c>
      <c r="AY74" s="21" t="str">
        <f>AE74</f>
        <v>no</v>
      </c>
      <c r="AZ74" s="21" t="str">
        <f>AG74</f>
        <v>n/a</v>
      </c>
      <c r="BA74" s="21" t="str">
        <f>AI74</f>
        <v>no</v>
      </c>
      <c r="BB74" s="21" t="s">
        <v>210</v>
      </c>
      <c r="BC74" s="5">
        <f>COUNTIF(AL74:BA74, "Yes")</f>
        <v>1</v>
      </c>
      <c r="BD74" s="5">
        <f>COUNTIF(AL74:BA74, "Partial")</f>
        <v>1</v>
      </c>
      <c r="BE74" s="5">
        <f>COUNTIF(AL74:BA74, "No")</f>
        <v>11</v>
      </c>
      <c r="BF74" s="5">
        <f>SUM(BC74+(BD74/2))</f>
        <v>1.5</v>
      </c>
      <c r="BG74" s="5">
        <f>SUM(BC74:BE74)</f>
        <v>13</v>
      </c>
      <c r="BH74" s="34">
        <f>SUM(BF74/BG74)*100</f>
        <v>11.538461538461538</v>
      </c>
    </row>
    <row r="75" spans="1:60">
      <c r="B75" t="s">
        <v>1210</v>
      </c>
      <c r="C75">
        <v>2017</v>
      </c>
      <c r="D75" s="5" t="s">
        <v>1215</v>
      </c>
      <c r="E75" s="5" t="s">
        <v>200</v>
      </c>
      <c r="G75" t="s">
        <v>200</v>
      </c>
      <c r="I75" t="s">
        <v>200</v>
      </c>
      <c r="K75" t="s">
        <v>200</v>
      </c>
      <c r="M75" t="s">
        <v>200</v>
      </c>
      <c r="O75" t="s">
        <v>204</v>
      </c>
      <c r="Q75" t="s">
        <v>200</v>
      </c>
      <c r="S75" t="s">
        <v>204</v>
      </c>
      <c r="U75" t="s">
        <v>200</v>
      </c>
      <c r="W75" t="s">
        <v>200</v>
      </c>
      <c r="Y75" t="s">
        <v>204</v>
      </c>
      <c r="AA75" t="s">
        <v>204</v>
      </c>
      <c r="AC75" t="s">
        <v>204</v>
      </c>
      <c r="AE75" t="s">
        <v>204</v>
      </c>
      <c r="AG75" t="s">
        <v>204</v>
      </c>
      <c r="AI75" t="s">
        <v>200</v>
      </c>
      <c r="AK75" t="s">
        <v>1489</v>
      </c>
      <c r="AL75" s="21" t="str">
        <f>E75</f>
        <v>yes</v>
      </c>
      <c r="AM75" s="21" t="str">
        <f>G75</f>
        <v>yes</v>
      </c>
      <c r="AN75" s="21" t="str">
        <f>I75</f>
        <v>yes</v>
      </c>
      <c r="AO75" s="21" t="str">
        <f>K75</f>
        <v>yes</v>
      </c>
      <c r="AP75" s="21" t="str">
        <f>M75</f>
        <v>yes</v>
      </c>
      <c r="AQ75" s="21" t="str">
        <f>O75</f>
        <v>n/a</v>
      </c>
      <c r="AR75" s="21" t="str">
        <f>Q75</f>
        <v>yes</v>
      </c>
      <c r="AS75" s="21" t="str">
        <f>S75</f>
        <v>n/a</v>
      </c>
      <c r="AT75" s="21" t="str">
        <f>U75</f>
        <v>yes</v>
      </c>
      <c r="AU75" s="21" t="str">
        <f>W75</f>
        <v>yes</v>
      </c>
      <c r="AV75" s="21" t="str">
        <f>Y75</f>
        <v>n/a</v>
      </c>
      <c r="AW75" s="21" t="str">
        <f>AA75</f>
        <v>n/a</v>
      </c>
      <c r="AX75" s="21" t="str">
        <f>AC75</f>
        <v>n/a</v>
      </c>
      <c r="AY75" s="21" t="str">
        <f>AE75</f>
        <v>n/a</v>
      </c>
      <c r="AZ75" s="21" t="str">
        <f>AG75</f>
        <v>n/a</v>
      </c>
      <c r="BA75" s="21" t="str">
        <f>AI75</f>
        <v>yes</v>
      </c>
      <c r="BB75" s="21" t="s">
        <v>200</v>
      </c>
      <c r="BC75" s="5">
        <f>COUNTIF(AL75:BA75, "Yes")</f>
        <v>9</v>
      </c>
      <c r="BD75" s="5">
        <f>COUNTIF(AL75:BA75, "Partial")</f>
        <v>0</v>
      </c>
      <c r="BE75" s="5">
        <f>COUNTIF(AL75:BA75, "No")</f>
        <v>0</v>
      </c>
      <c r="BF75" s="5">
        <f>SUM(BC75+(BD75/2))</f>
        <v>9</v>
      </c>
      <c r="BG75" s="5">
        <f>SUM(BC75:BE75)</f>
        <v>9</v>
      </c>
      <c r="BH75" s="34">
        <f>SUM(BF75/BG75)*100</f>
        <v>100</v>
      </c>
    </row>
    <row r="76" spans="1:60">
      <c r="B76" s="5" t="s">
        <v>1210</v>
      </c>
      <c r="C76" s="5">
        <v>2015</v>
      </c>
      <c r="D76" t="s">
        <v>1211</v>
      </c>
      <c r="E76" s="5" t="s">
        <v>210</v>
      </c>
      <c r="F76" t="s">
        <v>1646</v>
      </c>
      <c r="G76" t="s">
        <v>210</v>
      </c>
      <c r="I76" t="s">
        <v>210</v>
      </c>
      <c r="K76" t="s">
        <v>1483</v>
      </c>
      <c r="M76" t="s">
        <v>210</v>
      </c>
      <c r="O76" t="s">
        <v>210</v>
      </c>
      <c r="Q76" t="s">
        <v>210</v>
      </c>
      <c r="S76" t="s">
        <v>1483</v>
      </c>
      <c r="T76" t="s">
        <v>1609</v>
      </c>
      <c r="U76" t="s">
        <v>210</v>
      </c>
      <c r="W76" t="s">
        <v>210</v>
      </c>
      <c r="Y76" t="s">
        <v>204</v>
      </c>
      <c r="AA76" t="s">
        <v>204</v>
      </c>
      <c r="AC76" t="s">
        <v>210</v>
      </c>
      <c r="AE76" t="s">
        <v>210</v>
      </c>
      <c r="AG76" t="s">
        <v>204</v>
      </c>
      <c r="AI76" t="s">
        <v>210</v>
      </c>
      <c r="AJ76" t="s">
        <v>1647</v>
      </c>
      <c r="AK76" t="s">
        <v>1489</v>
      </c>
      <c r="AL76" s="21" t="str">
        <f>E76</f>
        <v>no</v>
      </c>
      <c r="AM76" s="21" t="str">
        <f>G76</f>
        <v>no</v>
      </c>
      <c r="AN76" s="21" t="str">
        <f>I76</f>
        <v>no</v>
      </c>
      <c r="AO76" s="21" t="str">
        <f>K76</f>
        <v>partial</v>
      </c>
      <c r="AP76" s="21" t="str">
        <f>M76</f>
        <v>no</v>
      </c>
      <c r="AQ76" s="21" t="str">
        <f>O76</f>
        <v>no</v>
      </c>
      <c r="AR76" s="21" t="str">
        <f>Q76</f>
        <v>no</v>
      </c>
      <c r="AS76" s="21" t="str">
        <f>S76</f>
        <v>partial</v>
      </c>
      <c r="AT76" s="21" t="str">
        <f>U76</f>
        <v>no</v>
      </c>
      <c r="AU76" s="21" t="str">
        <f>W76</f>
        <v>no</v>
      </c>
      <c r="AV76" s="21" t="str">
        <f>Y76</f>
        <v>n/a</v>
      </c>
      <c r="AW76" s="21" t="str">
        <f>AA76</f>
        <v>n/a</v>
      </c>
      <c r="AX76" s="21" t="str">
        <f>AC76</f>
        <v>no</v>
      </c>
      <c r="AY76" s="21" t="str">
        <f>AE76</f>
        <v>no</v>
      </c>
      <c r="AZ76" s="21" t="str">
        <f>AG76</f>
        <v>n/a</v>
      </c>
      <c r="BA76" s="21" t="str">
        <f>AI76</f>
        <v>no</v>
      </c>
      <c r="BB76" s="21" t="s">
        <v>210</v>
      </c>
      <c r="BC76" s="5">
        <f>COUNTIF(AL76:BA76, "Yes")</f>
        <v>0</v>
      </c>
      <c r="BD76" s="5">
        <f>COUNTIF(AL76:BA76, "Partial")</f>
        <v>2</v>
      </c>
      <c r="BE76" s="5">
        <f>COUNTIF(AL76:BA76, "No")</f>
        <v>11</v>
      </c>
      <c r="BF76" s="5">
        <f>SUM(BC76+(BD76/2))</f>
        <v>1</v>
      </c>
      <c r="BG76" s="5">
        <f>SUM(BC76:BE76)</f>
        <v>13</v>
      </c>
      <c r="BH76" s="34">
        <f>SUM(BF76/BG76)*100</f>
        <v>7.6923076923076925</v>
      </c>
    </row>
    <row r="77" spans="1:60">
      <c r="B77" s="94" t="s">
        <v>1424</v>
      </c>
      <c r="C77" s="94">
        <v>2013</v>
      </c>
      <c r="D77" s="94" t="s">
        <v>1425</v>
      </c>
      <c r="E77" s="96" t="s">
        <v>1489</v>
      </c>
      <c r="AK77" t="s">
        <v>1489</v>
      </c>
    </row>
    <row r="78" spans="1:60" s="157" customFormat="1">
      <c r="AL78" s="158"/>
      <c r="AM78" s="158"/>
      <c r="AN78" s="158"/>
      <c r="AO78" s="158"/>
      <c r="AP78" s="158"/>
      <c r="AQ78" s="158"/>
      <c r="AR78" s="158"/>
      <c r="AS78" s="158"/>
      <c r="AT78" s="158"/>
      <c r="AU78" s="158"/>
      <c r="AV78" s="158"/>
      <c r="AW78" s="158"/>
      <c r="AX78" s="158"/>
      <c r="AY78" s="158"/>
      <c r="AZ78" s="158"/>
      <c r="BA78" s="158"/>
      <c r="BB78" s="158"/>
    </row>
    <row r="79" spans="1:60" s="157" customFormat="1">
      <c r="AL79" s="158"/>
      <c r="AM79" s="158"/>
      <c r="AN79" s="158"/>
      <c r="AO79" s="158"/>
      <c r="AP79" s="158"/>
      <c r="AQ79" s="158"/>
      <c r="AR79" s="158"/>
      <c r="AS79" s="158"/>
      <c r="AT79" s="158"/>
      <c r="AU79" s="158"/>
      <c r="AV79" s="158"/>
      <c r="AW79" s="158"/>
      <c r="AX79" s="158"/>
      <c r="AY79" s="158"/>
      <c r="AZ79" s="158"/>
      <c r="BA79" s="158"/>
      <c r="BB79" s="158"/>
    </row>
    <row r="80" spans="1:60" s="157" customFormat="1">
      <c r="AL80" s="158"/>
      <c r="AM80" s="158"/>
      <c r="AN80" s="158"/>
      <c r="AO80" s="158"/>
      <c r="AP80" s="158"/>
      <c r="AQ80" s="158"/>
      <c r="AR80" s="158"/>
      <c r="AS80" s="158"/>
      <c r="AT80" s="158"/>
      <c r="AU80" s="158"/>
      <c r="AV80" s="158"/>
      <c r="AW80" s="158"/>
      <c r="AX80" s="158"/>
      <c r="AY80" s="158"/>
      <c r="AZ80" s="158"/>
      <c r="BA80" s="158"/>
      <c r="BB80" s="158"/>
    </row>
    <row r="81" spans="38:54" s="157" customFormat="1">
      <c r="AL81" s="158"/>
      <c r="AM81" s="158"/>
      <c r="AN81" s="158"/>
      <c r="AO81" s="158"/>
      <c r="AP81" s="158"/>
      <c r="AQ81" s="158"/>
      <c r="AR81" s="158"/>
      <c r="AS81" s="158"/>
      <c r="AT81" s="158"/>
      <c r="AU81" s="158"/>
      <c r="AV81" s="158"/>
      <c r="AW81" s="158"/>
      <c r="AX81" s="158"/>
      <c r="AY81" s="158"/>
      <c r="AZ81" s="158"/>
      <c r="BA81" s="158"/>
      <c r="BB81" s="158"/>
    </row>
    <row r="82" spans="38:54" s="157" customFormat="1">
      <c r="AL82" s="158"/>
      <c r="AM82" s="158"/>
      <c r="AN82" s="158"/>
      <c r="AO82" s="158"/>
      <c r="AP82" s="158"/>
      <c r="AQ82" s="158"/>
      <c r="AR82" s="158"/>
      <c r="AS82" s="158"/>
      <c r="AT82" s="158"/>
      <c r="AU82" s="158"/>
      <c r="AV82" s="158"/>
      <c r="AW82" s="158"/>
      <c r="AX82" s="158"/>
      <c r="AY82" s="158"/>
      <c r="AZ82" s="158"/>
      <c r="BA82" s="158"/>
      <c r="BB82" s="158"/>
    </row>
    <row r="83" spans="38:54" s="157" customFormat="1">
      <c r="AL83" s="158"/>
      <c r="AM83" s="158"/>
      <c r="AN83" s="158"/>
      <c r="AO83" s="158"/>
      <c r="AP83" s="158"/>
      <c r="AQ83" s="158"/>
      <c r="AR83" s="158"/>
      <c r="AS83" s="158"/>
      <c r="AT83" s="158"/>
      <c r="AU83" s="158"/>
      <c r="AV83" s="158"/>
      <c r="AW83" s="158"/>
      <c r="AX83" s="158"/>
      <c r="AY83" s="158"/>
      <c r="AZ83" s="158"/>
      <c r="BA83" s="158"/>
      <c r="BB83" s="158"/>
    </row>
    <row r="84" spans="38:54" s="157" customFormat="1">
      <c r="AL84" s="158"/>
      <c r="AM84" s="158"/>
      <c r="AN84" s="158"/>
      <c r="AO84" s="158"/>
      <c r="AP84" s="158"/>
      <c r="AQ84" s="158"/>
      <c r="AR84" s="158"/>
      <c r="AS84" s="158"/>
      <c r="AT84" s="158"/>
      <c r="AU84" s="158"/>
      <c r="AV84" s="158"/>
      <c r="AW84" s="158"/>
      <c r="AX84" s="158"/>
      <c r="AY84" s="158"/>
      <c r="AZ84" s="158"/>
      <c r="BA84" s="158"/>
      <c r="BB84" s="158"/>
    </row>
    <row r="85" spans="38:54" s="157" customFormat="1">
      <c r="AL85" s="158"/>
      <c r="AM85" s="158"/>
      <c r="AN85" s="158"/>
      <c r="AO85" s="158"/>
      <c r="AP85" s="158"/>
      <c r="AQ85" s="158"/>
      <c r="AR85" s="158"/>
      <c r="AS85" s="158"/>
      <c r="AT85" s="158"/>
      <c r="AU85" s="158"/>
      <c r="AV85" s="158"/>
      <c r="AW85" s="158"/>
      <c r="AX85" s="158"/>
      <c r="AY85" s="158"/>
      <c r="AZ85" s="158"/>
      <c r="BA85" s="158"/>
      <c r="BB85" s="158"/>
    </row>
    <row r="86" spans="38:54" s="157" customFormat="1">
      <c r="AL86" s="158"/>
      <c r="AM86" s="158"/>
      <c r="AN86" s="158"/>
      <c r="AO86" s="158"/>
      <c r="AP86" s="158"/>
      <c r="AQ86" s="158"/>
      <c r="AR86" s="158"/>
      <c r="AS86" s="158"/>
      <c r="AT86" s="158"/>
      <c r="AU86" s="158"/>
      <c r="AV86" s="158"/>
      <c r="AW86" s="158"/>
      <c r="AX86" s="158"/>
      <c r="AY86" s="158"/>
      <c r="AZ86" s="158"/>
      <c r="BA86" s="158"/>
      <c r="BB86" s="158"/>
    </row>
    <row r="87" spans="38:54" s="157" customFormat="1">
      <c r="AL87" s="158"/>
      <c r="AM87" s="158"/>
      <c r="AN87" s="158"/>
      <c r="AO87" s="158"/>
      <c r="AP87" s="158"/>
      <c r="AQ87" s="158"/>
      <c r="AR87" s="158"/>
      <c r="AS87" s="158"/>
      <c r="AT87" s="158"/>
      <c r="AU87" s="158"/>
      <c r="AV87" s="158"/>
      <c r="AW87" s="158"/>
      <c r="AX87" s="158"/>
      <c r="AY87" s="158"/>
      <c r="AZ87" s="158"/>
      <c r="BA87" s="158"/>
      <c r="BB87" s="158"/>
    </row>
    <row r="88" spans="38:54" s="157" customFormat="1">
      <c r="AL88" s="158"/>
      <c r="AM88" s="158"/>
      <c r="AN88" s="158"/>
      <c r="AO88" s="158"/>
      <c r="AP88" s="158"/>
      <c r="AQ88" s="158"/>
      <c r="AR88" s="158"/>
      <c r="AS88" s="158"/>
      <c r="AT88" s="158"/>
      <c r="AU88" s="158"/>
      <c r="AV88" s="158"/>
      <c r="AW88" s="158"/>
      <c r="AX88" s="158"/>
      <c r="AY88" s="158"/>
      <c r="AZ88" s="158"/>
      <c r="BA88" s="158"/>
      <c r="BB88" s="158"/>
    </row>
    <row r="89" spans="38:54" s="157" customFormat="1">
      <c r="AL89" s="158"/>
      <c r="AM89" s="158"/>
      <c r="AN89" s="158"/>
      <c r="AO89" s="158"/>
      <c r="AP89" s="158"/>
      <c r="AQ89" s="158"/>
      <c r="AR89" s="158"/>
      <c r="AS89" s="158"/>
      <c r="AT89" s="158"/>
      <c r="AU89" s="158"/>
      <c r="AV89" s="158"/>
      <c r="AW89" s="158"/>
      <c r="AX89" s="158"/>
      <c r="AY89" s="158"/>
      <c r="AZ89" s="158"/>
      <c r="BA89" s="158"/>
      <c r="BB89" s="158"/>
    </row>
    <row r="90" spans="38:54" s="157" customFormat="1">
      <c r="AL90" s="158"/>
      <c r="AM90" s="158"/>
      <c r="AN90" s="158"/>
      <c r="AO90" s="158"/>
      <c r="AP90" s="158"/>
      <c r="AQ90" s="158"/>
      <c r="AR90" s="158"/>
      <c r="AS90" s="158"/>
      <c r="AT90" s="158"/>
      <c r="AU90" s="158"/>
      <c r="AV90" s="158"/>
      <c r="AW90" s="158"/>
      <c r="AX90" s="158"/>
      <c r="AY90" s="158"/>
      <c r="AZ90" s="158"/>
      <c r="BA90" s="158"/>
      <c r="BB90" s="158"/>
    </row>
    <row r="91" spans="38:54" s="157" customFormat="1">
      <c r="AL91" s="158"/>
      <c r="AM91" s="158"/>
      <c r="AN91" s="158"/>
      <c r="AO91" s="158"/>
      <c r="AP91" s="158"/>
      <c r="AQ91" s="158"/>
      <c r="AR91" s="158"/>
      <c r="AS91" s="158"/>
      <c r="AT91" s="158"/>
      <c r="AU91" s="158"/>
      <c r="AV91" s="158"/>
      <c r="AW91" s="158"/>
      <c r="AX91" s="158"/>
      <c r="AY91" s="158"/>
      <c r="AZ91" s="158"/>
      <c r="BA91" s="158"/>
      <c r="BB91" s="158"/>
    </row>
    <row r="92" spans="38:54" s="157" customFormat="1">
      <c r="AL92" s="158"/>
      <c r="AM92" s="158"/>
      <c r="AN92" s="158"/>
      <c r="AO92" s="158"/>
      <c r="AP92" s="158"/>
      <c r="AQ92" s="158"/>
      <c r="AR92" s="158"/>
      <c r="AS92" s="158"/>
      <c r="AT92" s="158"/>
      <c r="AU92" s="158"/>
      <c r="AV92" s="158"/>
      <c r="AW92" s="158"/>
      <c r="AX92" s="158"/>
      <c r="AY92" s="158"/>
      <c r="AZ92" s="158"/>
      <c r="BA92" s="158"/>
      <c r="BB92" s="158"/>
    </row>
    <row r="93" spans="38:54" s="157" customFormat="1">
      <c r="AL93" s="158"/>
      <c r="AM93" s="158"/>
      <c r="AN93" s="158"/>
      <c r="AO93" s="158"/>
      <c r="AP93" s="158"/>
      <c r="AQ93" s="158"/>
      <c r="AR93" s="158"/>
      <c r="AS93" s="158"/>
      <c r="AT93" s="158"/>
      <c r="AU93" s="158"/>
      <c r="AV93" s="158"/>
      <c r="AW93" s="158"/>
      <c r="AX93" s="158"/>
      <c r="AY93" s="158"/>
      <c r="AZ93" s="158"/>
      <c r="BA93" s="158"/>
      <c r="BB93" s="158"/>
    </row>
    <row r="94" spans="38:54" s="157" customFormat="1">
      <c r="AL94" s="158"/>
      <c r="AM94" s="158"/>
      <c r="AN94" s="158"/>
      <c r="AO94" s="158"/>
      <c r="AP94" s="158"/>
      <c r="AQ94" s="158"/>
      <c r="AR94" s="158"/>
      <c r="AS94" s="158"/>
      <c r="AT94" s="158"/>
      <c r="AU94" s="158"/>
      <c r="AV94" s="158"/>
      <c r="AW94" s="158"/>
      <c r="AX94" s="158"/>
      <c r="AY94" s="158"/>
      <c r="AZ94" s="158"/>
      <c r="BA94" s="158"/>
      <c r="BB94" s="158"/>
    </row>
    <row r="95" spans="38:54" s="157" customFormat="1">
      <c r="AL95" s="158"/>
      <c r="AM95" s="158"/>
      <c r="AN95" s="158"/>
      <c r="AO95" s="158"/>
      <c r="AP95" s="158"/>
      <c r="AQ95" s="158"/>
      <c r="AR95" s="158"/>
      <c r="AS95" s="158"/>
      <c r="AT95" s="158"/>
      <c r="AU95" s="158"/>
      <c r="AV95" s="158"/>
      <c r="AW95" s="158"/>
      <c r="AX95" s="158"/>
      <c r="AY95" s="158"/>
      <c r="AZ95" s="158"/>
      <c r="BA95" s="158"/>
      <c r="BB95" s="158"/>
    </row>
    <row r="96" spans="38:54" s="157" customFormat="1">
      <c r="AL96" s="158"/>
      <c r="AM96" s="158"/>
      <c r="AN96" s="158"/>
      <c r="AO96" s="158"/>
      <c r="AP96" s="158"/>
      <c r="AQ96" s="158"/>
      <c r="AR96" s="158"/>
      <c r="AS96" s="158"/>
      <c r="AT96" s="158"/>
      <c r="AU96" s="158"/>
      <c r="AV96" s="158"/>
      <c r="AW96" s="158"/>
      <c r="AX96" s="158"/>
      <c r="AY96" s="158"/>
      <c r="AZ96" s="158"/>
      <c r="BA96" s="158"/>
      <c r="BB96" s="158"/>
    </row>
    <row r="97" spans="38:54" s="157" customFormat="1">
      <c r="AL97" s="158"/>
      <c r="AM97" s="158"/>
      <c r="AN97" s="158"/>
      <c r="AO97" s="158"/>
      <c r="AP97" s="158"/>
      <c r="AQ97" s="158"/>
      <c r="AR97" s="158"/>
      <c r="AS97" s="158"/>
      <c r="AT97" s="158"/>
      <c r="AU97" s="158"/>
      <c r="AV97" s="158"/>
      <c r="AW97" s="158"/>
      <c r="AX97" s="158"/>
      <c r="AY97" s="158"/>
      <c r="AZ97" s="158"/>
      <c r="BA97" s="158"/>
      <c r="BB97" s="158"/>
    </row>
    <row r="98" spans="38:54" s="157" customFormat="1">
      <c r="AL98" s="158"/>
      <c r="AM98" s="158"/>
      <c r="AN98" s="158"/>
      <c r="AO98" s="158"/>
      <c r="AP98" s="158"/>
      <c r="AQ98" s="158"/>
      <c r="AR98" s="158"/>
      <c r="AS98" s="158"/>
      <c r="AT98" s="158"/>
      <c r="AU98" s="158"/>
      <c r="AV98" s="158"/>
      <c r="AW98" s="158"/>
      <c r="AX98" s="158"/>
      <c r="AY98" s="158"/>
      <c r="AZ98" s="158"/>
      <c r="BA98" s="158"/>
      <c r="BB98" s="158"/>
    </row>
    <row r="99" spans="38:54" s="157" customFormat="1">
      <c r="AL99" s="158"/>
      <c r="AM99" s="158"/>
      <c r="AN99" s="158"/>
      <c r="AO99" s="158"/>
      <c r="AP99" s="158"/>
      <c r="AQ99" s="158"/>
      <c r="AR99" s="158"/>
      <c r="AS99" s="158"/>
      <c r="AT99" s="158"/>
      <c r="AU99" s="158"/>
      <c r="AV99" s="158"/>
      <c r="AW99" s="158"/>
      <c r="AX99" s="158"/>
      <c r="AY99" s="158"/>
      <c r="AZ99" s="158"/>
      <c r="BA99" s="158"/>
      <c r="BB99" s="158"/>
    </row>
    <row r="100" spans="38:54" s="157" customFormat="1">
      <c r="AL100" s="158"/>
      <c r="AM100" s="158"/>
      <c r="AN100" s="158"/>
      <c r="AO100" s="158"/>
      <c r="AP100" s="158"/>
      <c r="AQ100" s="158"/>
      <c r="AR100" s="158"/>
      <c r="AS100" s="158"/>
      <c r="AT100" s="158"/>
      <c r="AU100" s="158"/>
      <c r="AV100" s="158"/>
      <c r="AW100" s="158"/>
      <c r="AX100" s="158"/>
      <c r="AY100" s="158"/>
      <c r="AZ100" s="158"/>
      <c r="BA100" s="158"/>
      <c r="BB100" s="158"/>
    </row>
    <row r="101" spans="38:54" s="157" customFormat="1">
      <c r="AL101" s="158"/>
      <c r="AM101" s="158"/>
      <c r="AN101" s="158"/>
      <c r="AO101" s="158"/>
      <c r="AP101" s="158"/>
      <c r="AQ101" s="158"/>
      <c r="AR101" s="158"/>
      <c r="AS101" s="158"/>
      <c r="AT101" s="158"/>
      <c r="AU101" s="158"/>
      <c r="AV101" s="158"/>
      <c r="AW101" s="158"/>
      <c r="AX101" s="158"/>
      <c r="AY101" s="158"/>
      <c r="AZ101" s="158"/>
      <c r="BA101" s="158"/>
      <c r="BB101" s="158"/>
    </row>
    <row r="102" spans="38:54" s="157" customFormat="1">
      <c r="AL102" s="158"/>
      <c r="AM102" s="158"/>
      <c r="AN102" s="158"/>
      <c r="AO102" s="158"/>
      <c r="AP102" s="158"/>
      <c r="AQ102" s="158"/>
      <c r="AR102" s="158"/>
      <c r="AS102" s="158"/>
      <c r="AT102" s="158"/>
      <c r="AU102" s="158"/>
      <c r="AV102" s="158"/>
      <c r="AW102" s="158"/>
      <c r="AX102" s="158"/>
      <c r="AY102" s="158"/>
      <c r="AZ102" s="158"/>
      <c r="BA102" s="158"/>
      <c r="BB102" s="158"/>
    </row>
    <row r="103" spans="38:54" s="157" customFormat="1">
      <c r="AL103" s="158"/>
      <c r="AM103" s="158"/>
      <c r="AN103" s="158"/>
      <c r="AO103" s="158"/>
      <c r="AP103" s="158"/>
      <c r="AQ103" s="158"/>
      <c r="AR103" s="158"/>
      <c r="AS103" s="158"/>
      <c r="AT103" s="158"/>
      <c r="AU103" s="158"/>
      <c r="AV103" s="158"/>
      <c r="AW103" s="158"/>
      <c r="AX103" s="158"/>
      <c r="AY103" s="158"/>
      <c r="AZ103" s="158"/>
      <c r="BA103" s="158"/>
      <c r="BB103" s="158"/>
    </row>
    <row r="104" spans="38:54" s="157" customFormat="1">
      <c r="AL104" s="158"/>
      <c r="AM104" s="158"/>
      <c r="AN104" s="158"/>
      <c r="AO104" s="158"/>
      <c r="AP104" s="158"/>
      <c r="AQ104" s="158"/>
      <c r="AR104" s="158"/>
      <c r="AS104" s="158"/>
      <c r="AT104" s="158"/>
      <c r="AU104" s="158"/>
      <c r="AV104" s="158"/>
      <c r="AW104" s="158"/>
      <c r="AX104" s="158"/>
      <c r="AY104" s="158"/>
      <c r="AZ104" s="158"/>
      <c r="BA104" s="158"/>
      <c r="BB104" s="158"/>
    </row>
    <row r="105" spans="38:54" s="157" customFormat="1">
      <c r="AL105" s="158"/>
      <c r="AM105" s="158"/>
      <c r="AN105" s="158"/>
      <c r="AO105" s="158"/>
      <c r="AP105" s="158"/>
      <c r="AQ105" s="158"/>
      <c r="AR105" s="158"/>
      <c r="AS105" s="158"/>
      <c r="AT105" s="158"/>
      <c r="AU105" s="158"/>
      <c r="AV105" s="158"/>
      <c r="AW105" s="158"/>
      <c r="AX105" s="158"/>
      <c r="AY105" s="158"/>
      <c r="AZ105" s="158"/>
      <c r="BA105" s="158"/>
      <c r="BB105" s="158"/>
    </row>
    <row r="106" spans="38:54" s="157" customFormat="1">
      <c r="AL106" s="158"/>
      <c r="AM106" s="158"/>
      <c r="AN106" s="158"/>
      <c r="AO106" s="158"/>
      <c r="AP106" s="158"/>
      <c r="AQ106" s="158"/>
      <c r="AR106" s="158"/>
      <c r="AS106" s="158"/>
      <c r="AT106" s="158"/>
      <c r="AU106" s="158"/>
      <c r="AV106" s="158"/>
      <c r="AW106" s="158"/>
      <c r="AX106" s="158"/>
      <c r="AY106" s="158"/>
      <c r="AZ106" s="158"/>
      <c r="BA106" s="158"/>
      <c r="BB106" s="158"/>
    </row>
    <row r="107" spans="38:54" s="157" customFormat="1">
      <c r="AL107" s="158"/>
      <c r="AM107" s="158"/>
      <c r="AN107" s="158"/>
      <c r="AO107" s="158"/>
      <c r="AP107" s="158"/>
      <c r="AQ107" s="158"/>
      <c r="AR107" s="158"/>
      <c r="AS107" s="158"/>
      <c r="AT107" s="158"/>
      <c r="AU107" s="158"/>
      <c r="AV107" s="158"/>
      <c r="AW107" s="158"/>
      <c r="AX107" s="158"/>
      <c r="AY107" s="158"/>
      <c r="AZ107" s="158"/>
      <c r="BA107" s="158"/>
      <c r="BB107" s="158"/>
    </row>
    <row r="108" spans="38:54" s="157" customFormat="1">
      <c r="AL108" s="158"/>
      <c r="AM108" s="158"/>
      <c r="AN108" s="158"/>
      <c r="AO108" s="158"/>
      <c r="AP108" s="158"/>
      <c r="AQ108" s="158"/>
      <c r="AR108" s="158"/>
      <c r="AS108" s="158"/>
      <c r="AT108" s="158"/>
      <c r="AU108" s="158"/>
      <c r="AV108" s="158"/>
      <c r="AW108" s="158"/>
      <c r="AX108" s="158"/>
      <c r="AY108" s="158"/>
      <c r="AZ108" s="158"/>
      <c r="BA108" s="158"/>
      <c r="BB108" s="158"/>
    </row>
    <row r="109" spans="38:54" s="157" customFormat="1">
      <c r="AL109" s="158"/>
      <c r="AM109" s="158"/>
      <c r="AN109" s="158"/>
      <c r="AO109" s="158"/>
      <c r="AP109" s="158"/>
      <c r="AQ109" s="158"/>
      <c r="AR109" s="158"/>
      <c r="AS109" s="158"/>
      <c r="AT109" s="158"/>
      <c r="AU109" s="158"/>
      <c r="AV109" s="158"/>
      <c r="AW109" s="158"/>
      <c r="AX109" s="158"/>
      <c r="AY109" s="158"/>
      <c r="AZ109" s="158"/>
      <c r="BA109" s="158"/>
      <c r="BB109" s="158"/>
    </row>
    <row r="110" spans="38:54" s="157" customFormat="1">
      <c r="AL110" s="158"/>
      <c r="AM110" s="158"/>
      <c r="AN110" s="158"/>
      <c r="AO110" s="158"/>
      <c r="AP110" s="158"/>
      <c r="AQ110" s="158"/>
      <c r="AR110" s="158"/>
      <c r="AS110" s="158"/>
      <c r="AT110" s="158"/>
      <c r="AU110" s="158"/>
      <c r="AV110" s="158"/>
      <c r="AW110" s="158"/>
      <c r="AX110" s="158"/>
      <c r="AY110" s="158"/>
      <c r="AZ110" s="158"/>
      <c r="BA110" s="158"/>
      <c r="BB110" s="158"/>
    </row>
    <row r="111" spans="38:54" s="157" customFormat="1">
      <c r="AL111" s="158"/>
      <c r="AM111" s="158"/>
      <c r="AN111" s="158"/>
      <c r="AO111" s="158"/>
      <c r="AP111" s="158"/>
      <c r="AQ111" s="158"/>
      <c r="AR111" s="158"/>
      <c r="AS111" s="158"/>
      <c r="AT111" s="158"/>
      <c r="AU111" s="158"/>
      <c r="AV111" s="158"/>
      <c r="AW111" s="158"/>
      <c r="AX111" s="158"/>
      <c r="AY111" s="158"/>
      <c r="AZ111" s="158"/>
      <c r="BA111" s="158"/>
      <c r="BB111" s="158"/>
    </row>
    <row r="112" spans="38:54" s="157" customFormat="1">
      <c r="AL112" s="158"/>
      <c r="AM112" s="158"/>
      <c r="AN112" s="158"/>
      <c r="AO112" s="158"/>
      <c r="AP112" s="158"/>
      <c r="AQ112" s="158"/>
      <c r="AR112" s="158"/>
      <c r="AS112" s="158"/>
      <c r="AT112" s="158"/>
      <c r="AU112" s="158"/>
      <c r="AV112" s="158"/>
      <c r="AW112" s="158"/>
      <c r="AX112" s="158"/>
      <c r="AY112" s="158"/>
      <c r="AZ112" s="158"/>
      <c r="BA112" s="158"/>
      <c r="BB112" s="158"/>
    </row>
    <row r="113" spans="38:54" s="157" customFormat="1">
      <c r="AL113" s="158"/>
      <c r="AM113" s="158"/>
      <c r="AN113" s="158"/>
      <c r="AO113" s="158"/>
      <c r="AP113" s="158"/>
      <c r="AQ113" s="158"/>
      <c r="AR113" s="158"/>
      <c r="AS113" s="158"/>
      <c r="AT113" s="158"/>
      <c r="AU113" s="158"/>
      <c r="AV113" s="158"/>
      <c r="AW113" s="158"/>
      <c r="AX113" s="158"/>
      <c r="AY113" s="158"/>
      <c r="AZ113" s="158"/>
      <c r="BA113" s="158"/>
      <c r="BB113" s="158"/>
    </row>
    <row r="114" spans="38:54" s="157" customFormat="1">
      <c r="AL114" s="158"/>
      <c r="AM114" s="158"/>
      <c r="AN114" s="158"/>
      <c r="AO114" s="158"/>
      <c r="AP114" s="158"/>
      <c r="AQ114" s="158"/>
      <c r="AR114" s="158"/>
      <c r="AS114" s="158"/>
      <c r="AT114" s="158"/>
      <c r="AU114" s="158"/>
      <c r="AV114" s="158"/>
      <c r="AW114" s="158"/>
      <c r="AX114" s="158"/>
      <c r="AY114" s="158"/>
      <c r="AZ114" s="158"/>
      <c r="BA114" s="158"/>
      <c r="BB114" s="158"/>
    </row>
    <row r="115" spans="38:54" s="157" customFormat="1">
      <c r="AL115" s="158"/>
      <c r="AM115" s="158"/>
      <c r="AN115" s="158"/>
      <c r="AO115" s="158"/>
      <c r="AP115" s="158"/>
      <c r="AQ115" s="158"/>
      <c r="AR115" s="158"/>
      <c r="AS115" s="158"/>
      <c r="AT115" s="158"/>
      <c r="AU115" s="158"/>
      <c r="AV115" s="158"/>
      <c r="AW115" s="158"/>
      <c r="AX115" s="158"/>
      <c r="AY115" s="158"/>
      <c r="AZ115" s="158"/>
      <c r="BA115" s="158"/>
      <c r="BB115" s="158"/>
    </row>
    <row r="116" spans="38:54" s="157" customFormat="1">
      <c r="AL116" s="158"/>
      <c r="AM116" s="158"/>
      <c r="AN116" s="158"/>
      <c r="AO116" s="158"/>
      <c r="AP116" s="158"/>
      <c r="AQ116" s="158"/>
      <c r="AR116" s="158"/>
      <c r="AS116" s="158"/>
      <c r="AT116" s="158"/>
      <c r="AU116" s="158"/>
      <c r="AV116" s="158"/>
      <c r="AW116" s="158"/>
      <c r="AX116" s="158"/>
      <c r="AY116" s="158"/>
      <c r="AZ116" s="158"/>
      <c r="BA116" s="158"/>
      <c r="BB116" s="158"/>
    </row>
    <row r="117" spans="38:54" s="157" customFormat="1">
      <c r="AL117" s="158"/>
      <c r="AM117" s="158"/>
      <c r="AN117" s="158"/>
      <c r="AO117" s="158"/>
      <c r="AP117" s="158"/>
      <c r="AQ117" s="158"/>
      <c r="AR117" s="158"/>
      <c r="AS117" s="158"/>
      <c r="AT117" s="158"/>
      <c r="AU117" s="158"/>
      <c r="AV117" s="158"/>
      <c r="AW117" s="158"/>
      <c r="AX117" s="158"/>
      <c r="AY117" s="158"/>
      <c r="AZ117" s="158"/>
      <c r="BA117" s="158"/>
      <c r="BB117" s="158"/>
    </row>
    <row r="118" spans="38:54" s="157" customFormat="1">
      <c r="AL118" s="158"/>
      <c r="AM118" s="158"/>
      <c r="AN118" s="158"/>
      <c r="AO118" s="158"/>
      <c r="AP118" s="158"/>
      <c r="AQ118" s="158"/>
      <c r="AR118" s="158"/>
      <c r="AS118" s="158"/>
      <c r="AT118" s="158"/>
      <c r="AU118" s="158"/>
      <c r="AV118" s="158"/>
      <c r="AW118" s="158"/>
      <c r="AX118" s="158"/>
      <c r="AY118" s="158"/>
      <c r="AZ118" s="158"/>
      <c r="BA118" s="158"/>
      <c r="BB118" s="158"/>
    </row>
    <row r="119" spans="38:54" s="157" customFormat="1">
      <c r="AL119" s="158"/>
      <c r="AM119" s="158"/>
      <c r="AN119" s="158"/>
      <c r="AO119" s="158"/>
      <c r="AP119" s="158"/>
      <c r="AQ119" s="158"/>
      <c r="AR119" s="158"/>
      <c r="AS119" s="158"/>
      <c r="AT119" s="158"/>
      <c r="AU119" s="158"/>
      <c r="AV119" s="158"/>
      <c r="AW119" s="158"/>
      <c r="AX119" s="158"/>
      <c r="AY119" s="158"/>
      <c r="AZ119" s="158"/>
      <c r="BA119" s="158"/>
      <c r="BB119" s="158"/>
    </row>
    <row r="120" spans="38:54" s="157" customFormat="1">
      <c r="AL120" s="158"/>
      <c r="AM120" s="158"/>
      <c r="AN120" s="158"/>
      <c r="AO120" s="158"/>
      <c r="AP120" s="158"/>
      <c r="AQ120" s="158"/>
      <c r="AR120" s="158"/>
      <c r="AS120" s="158"/>
      <c r="AT120" s="158"/>
      <c r="AU120" s="158"/>
      <c r="AV120" s="158"/>
      <c r="AW120" s="158"/>
      <c r="AX120" s="158"/>
      <c r="AY120" s="158"/>
      <c r="AZ120" s="158"/>
      <c r="BA120" s="158"/>
      <c r="BB120" s="158"/>
    </row>
    <row r="121" spans="38:54" s="157" customFormat="1">
      <c r="AL121" s="158"/>
      <c r="AM121" s="158"/>
      <c r="AN121" s="158"/>
      <c r="AO121" s="158"/>
      <c r="AP121" s="158"/>
      <c r="AQ121" s="158"/>
      <c r="AR121" s="158"/>
      <c r="AS121" s="158"/>
      <c r="AT121" s="158"/>
      <c r="AU121" s="158"/>
      <c r="AV121" s="158"/>
      <c r="AW121" s="158"/>
      <c r="AX121" s="158"/>
      <c r="AY121" s="158"/>
      <c r="AZ121" s="158"/>
      <c r="BA121" s="158"/>
      <c r="BB121" s="158"/>
    </row>
    <row r="122" spans="38:54" s="157" customFormat="1">
      <c r="AL122" s="158"/>
      <c r="AM122" s="158"/>
      <c r="AN122" s="158"/>
      <c r="AO122" s="158"/>
      <c r="AP122" s="158"/>
      <c r="AQ122" s="158"/>
      <c r="AR122" s="158"/>
      <c r="AS122" s="158"/>
      <c r="AT122" s="158"/>
      <c r="AU122" s="158"/>
      <c r="AV122" s="158"/>
      <c r="AW122" s="158"/>
      <c r="AX122" s="158"/>
      <c r="AY122" s="158"/>
      <c r="AZ122" s="158"/>
      <c r="BA122" s="158"/>
      <c r="BB122" s="158"/>
    </row>
    <row r="123" spans="38:54" s="157" customFormat="1">
      <c r="AL123" s="158"/>
      <c r="AM123" s="158"/>
      <c r="AN123" s="158"/>
      <c r="AO123" s="158"/>
      <c r="AP123" s="158"/>
      <c r="AQ123" s="158"/>
      <c r="AR123" s="158"/>
      <c r="AS123" s="158"/>
      <c r="AT123" s="158"/>
      <c r="AU123" s="158"/>
      <c r="AV123" s="158"/>
      <c r="AW123" s="158"/>
      <c r="AX123" s="158"/>
      <c r="AY123" s="158"/>
      <c r="AZ123" s="158"/>
      <c r="BA123" s="158"/>
      <c r="BB123" s="158"/>
    </row>
    <row r="124" spans="38:54" s="157" customFormat="1">
      <c r="AL124" s="158"/>
      <c r="AM124" s="158"/>
      <c r="AN124" s="158"/>
      <c r="AO124" s="158"/>
      <c r="AP124" s="158"/>
      <c r="AQ124" s="158"/>
      <c r="AR124" s="158"/>
      <c r="AS124" s="158"/>
      <c r="AT124" s="158"/>
      <c r="AU124" s="158"/>
      <c r="AV124" s="158"/>
      <c r="AW124" s="158"/>
      <c r="AX124" s="158"/>
      <c r="AY124" s="158"/>
      <c r="AZ124" s="158"/>
      <c r="BA124" s="158"/>
      <c r="BB124" s="158"/>
    </row>
    <row r="125" spans="38:54" s="157" customFormat="1">
      <c r="AL125" s="158"/>
      <c r="AM125" s="158"/>
      <c r="AN125" s="158"/>
      <c r="AO125" s="158"/>
      <c r="AP125" s="158"/>
      <c r="AQ125" s="158"/>
      <c r="AR125" s="158"/>
      <c r="AS125" s="158"/>
      <c r="AT125" s="158"/>
      <c r="AU125" s="158"/>
      <c r="AV125" s="158"/>
      <c r="AW125" s="158"/>
      <c r="AX125" s="158"/>
      <c r="AY125" s="158"/>
      <c r="AZ125" s="158"/>
      <c r="BA125" s="158"/>
      <c r="BB125" s="158"/>
    </row>
    <row r="126" spans="38:54" s="157" customFormat="1">
      <c r="AL126" s="158"/>
      <c r="AM126" s="158"/>
      <c r="AN126" s="158"/>
      <c r="AO126" s="158"/>
      <c r="AP126" s="158"/>
      <c r="AQ126" s="158"/>
      <c r="AR126" s="158"/>
      <c r="AS126" s="158"/>
      <c r="AT126" s="158"/>
      <c r="AU126" s="158"/>
      <c r="AV126" s="158"/>
      <c r="AW126" s="158"/>
      <c r="AX126" s="158"/>
      <c r="AY126" s="158"/>
      <c r="AZ126" s="158"/>
      <c r="BA126" s="158"/>
      <c r="BB126" s="158"/>
    </row>
    <row r="127" spans="38:54" s="157" customFormat="1">
      <c r="AL127" s="158"/>
      <c r="AM127" s="158"/>
      <c r="AN127" s="158"/>
      <c r="AO127" s="158"/>
      <c r="AP127" s="158"/>
      <c r="AQ127" s="158"/>
      <c r="AR127" s="158"/>
      <c r="AS127" s="158"/>
      <c r="AT127" s="158"/>
      <c r="AU127" s="158"/>
      <c r="AV127" s="158"/>
      <c r="AW127" s="158"/>
      <c r="AX127" s="158"/>
      <c r="AY127" s="158"/>
      <c r="AZ127" s="158"/>
      <c r="BA127" s="158"/>
      <c r="BB127" s="158"/>
    </row>
    <row r="128" spans="38:54" s="157" customFormat="1">
      <c r="AL128" s="158"/>
      <c r="AM128" s="158"/>
      <c r="AN128" s="158"/>
      <c r="AO128" s="158"/>
      <c r="AP128" s="158"/>
      <c r="AQ128" s="158"/>
      <c r="AR128" s="158"/>
      <c r="AS128" s="158"/>
      <c r="AT128" s="158"/>
      <c r="AU128" s="158"/>
      <c r="AV128" s="158"/>
      <c r="AW128" s="158"/>
      <c r="AX128" s="158"/>
      <c r="AY128" s="158"/>
      <c r="AZ128" s="158"/>
      <c r="BA128" s="158"/>
      <c r="BB128" s="158"/>
    </row>
    <row r="129" spans="38:54" s="157" customFormat="1">
      <c r="AL129" s="158"/>
      <c r="AM129" s="158"/>
      <c r="AN129" s="158"/>
      <c r="AO129" s="158"/>
      <c r="AP129" s="158"/>
      <c r="AQ129" s="158"/>
      <c r="AR129" s="158"/>
      <c r="AS129" s="158"/>
      <c r="AT129" s="158"/>
      <c r="AU129" s="158"/>
      <c r="AV129" s="158"/>
      <c r="AW129" s="158"/>
      <c r="AX129" s="158"/>
      <c r="AY129" s="158"/>
      <c r="AZ129" s="158"/>
      <c r="BA129" s="158"/>
      <c r="BB129" s="158"/>
    </row>
    <row r="130" spans="38:54" s="157" customFormat="1">
      <c r="AL130" s="158"/>
      <c r="AM130" s="158"/>
      <c r="AN130" s="158"/>
      <c r="AO130" s="158"/>
      <c r="AP130" s="158"/>
      <c r="AQ130" s="158"/>
      <c r="AR130" s="158"/>
      <c r="AS130" s="158"/>
      <c r="AT130" s="158"/>
      <c r="AU130" s="158"/>
      <c r="AV130" s="158"/>
      <c r="AW130" s="158"/>
      <c r="AX130" s="158"/>
      <c r="AY130" s="158"/>
      <c r="AZ130" s="158"/>
      <c r="BA130" s="158"/>
      <c r="BB130" s="158"/>
    </row>
    <row r="131" spans="38:54" s="157" customFormat="1">
      <c r="AL131" s="158"/>
      <c r="AM131" s="158"/>
      <c r="AN131" s="158"/>
      <c r="AO131" s="158"/>
      <c r="AP131" s="158"/>
      <c r="AQ131" s="158"/>
      <c r="AR131" s="158"/>
      <c r="AS131" s="158"/>
      <c r="AT131" s="158"/>
      <c r="AU131" s="158"/>
      <c r="AV131" s="158"/>
      <c r="AW131" s="158"/>
      <c r="AX131" s="158"/>
      <c r="AY131" s="158"/>
      <c r="AZ131" s="158"/>
      <c r="BA131" s="158"/>
      <c r="BB131" s="158"/>
    </row>
    <row r="132" spans="38:54" s="157" customFormat="1">
      <c r="AL132" s="158"/>
      <c r="AM132" s="158"/>
      <c r="AN132" s="158"/>
      <c r="AO132" s="158"/>
      <c r="AP132" s="158"/>
      <c r="AQ132" s="158"/>
      <c r="AR132" s="158"/>
      <c r="AS132" s="158"/>
      <c r="AT132" s="158"/>
      <c r="AU132" s="158"/>
      <c r="AV132" s="158"/>
      <c r="AW132" s="158"/>
      <c r="AX132" s="158"/>
      <c r="AY132" s="158"/>
      <c r="AZ132" s="158"/>
      <c r="BA132" s="158"/>
      <c r="BB132" s="158"/>
    </row>
    <row r="133" spans="38:54" s="157" customFormat="1">
      <c r="AL133" s="158"/>
      <c r="AM133" s="158"/>
      <c r="AN133" s="158"/>
      <c r="AO133" s="158"/>
      <c r="AP133" s="158"/>
      <c r="AQ133" s="158"/>
      <c r="AR133" s="158"/>
      <c r="AS133" s="158"/>
      <c r="AT133" s="158"/>
      <c r="AU133" s="158"/>
      <c r="AV133" s="158"/>
      <c r="AW133" s="158"/>
      <c r="AX133" s="158"/>
      <c r="AY133" s="158"/>
      <c r="AZ133" s="158"/>
      <c r="BA133" s="158"/>
      <c r="BB133" s="158"/>
    </row>
    <row r="134" spans="38:54" s="157" customFormat="1">
      <c r="AL134" s="158"/>
      <c r="AM134" s="158"/>
      <c r="AN134" s="158"/>
      <c r="AO134" s="158"/>
      <c r="AP134" s="158"/>
      <c r="AQ134" s="158"/>
      <c r="AR134" s="158"/>
      <c r="AS134" s="158"/>
      <c r="AT134" s="158"/>
      <c r="AU134" s="158"/>
      <c r="AV134" s="158"/>
      <c r="AW134" s="158"/>
      <c r="AX134" s="158"/>
      <c r="AY134" s="158"/>
      <c r="AZ134" s="158"/>
      <c r="BA134" s="158"/>
      <c r="BB134" s="158"/>
    </row>
    <row r="135" spans="38:54" s="157" customFormat="1">
      <c r="AL135" s="158"/>
      <c r="AM135" s="158"/>
      <c r="AN135" s="158"/>
      <c r="AO135" s="158"/>
      <c r="AP135" s="158"/>
      <c r="AQ135" s="158"/>
      <c r="AR135" s="158"/>
      <c r="AS135" s="158"/>
      <c r="AT135" s="158"/>
      <c r="AU135" s="158"/>
      <c r="AV135" s="158"/>
      <c r="AW135" s="158"/>
      <c r="AX135" s="158"/>
      <c r="AY135" s="158"/>
      <c r="AZ135" s="158"/>
      <c r="BA135" s="158"/>
      <c r="BB135" s="158"/>
    </row>
    <row r="136" spans="38:54" s="157" customFormat="1">
      <c r="AL136" s="158"/>
      <c r="AM136" s="158"/>
      <c r="AN136" s="158"/>
      <c r="AO136" s="158"/>
      <c r="AP136" s="158"/>
      <c r="AQ136" s="158"/>
      <c r="AR136" s="158"/>
      <c r="AS136" s="158"/>
      <c r="AT136" s="158"/>
      <c r="AU136" s="158"/>
      <c r="AV136" s="158"/>
      <c r="AW136" s="158"/>
      <c r="AX136" s="158"/>
      <c r="AY136" s="158"/>
      <c r="AZ136" s="158"/>
      <c r="BA136" s="158"/>
      <c r="BB136" s="158"/>
    </row>
    <row r="137" spans="38:54" s="157" customFormat="1">
      <c r="AL137" s="158"/>
      <c r="AM137" s="158"/>
      <c r="AN137" s="158"/>
      <c r="AO137" s="158"/>
      <c r="AP137" s="158"/>
      <c r="AQ137" s="158"/>
      <c r="AR137" s="158"/>
      <c r="AS137" s="158"/>
      <c r="AT137" s="158"/>
      <c r="AU137" s="158"/>
      <c r="AV137" s="158"/>
      <c r="AW137" s="158"/>
      <c r="AX137" s="158"/>
      <c r="AY137" s="158"/>
      <c r="AZ137" s="158"/>
      <c r="BA137" s="158"/>
      <c r="BB137" s="158"/>
    </row>
    <row r="138" spans="38:54" s="157" customFormat="1">
      <c r="AL138" s="158"/>
      <c r="AM138" s="158"/>
      <c r="AN138" s="158"/>
      <c r="AO138" s="158"/>
      <c r="AP138" s="158"/>
      <c r="AQ138" s="158"/>
      <c r="AR138" s="158"/>
      <c r="AS138" s="158"/>
      <c r="AT138" s="158"/>
      <c r="AU138" s="158"/>
      <c r="AV138" s="158"/>
      <c r="AW138" s="158"/>
      <c r="AX138" s="158"/>
      <c r="AY138" s="158"/>
      <c r="AZ138" s="158"/>
      <c r="BA138" s="158"/>
      <c r="BB138" s="158"/>
    </row>
    <row r="139" spans="38:54" s="157" customFormat="1">
      <c r="AL139" s="158"/>
      <c r="AM139" s="158"/>
      <c r="AN139" s="158"/>
      <c r="AO139" s="158"/>
      <c r="AP139" s="158"/>
      <c r="AQ139" s="158"/>
      <c r="AR139" s="158"/>
      <c r="AS139" s="158"/>
      <c r="AT139" s="158"/>
      <c r="AU139" s="158"/>
      <c r="AV139" s="158"/>
      <c r="AW139" s="158"/>
      <c r="AX139" s="158"/>
      <c r="AY139" s="158"/>
      <c r="AZ139" s="158"/>
      <c r="BA139" s="158"/>
      <c r="BB139" s="158"/>
    </row>
    <row r="140" spans="38:54" s="157" customFormat="1">
      <c r="AL140" s="158"/>
      <c r="AM140" s="158"/>
      <c r="AN140" s="158"/>
      <c r="AO140" s="158"/>
      <c r="AP140" s="158"/>
      <c r="AQ140" s="158"/>
      <c r="AR140" s="158"/>
      <c r="AS140" s="158"/>
      <c r="AT140" s="158"/>
      <c r="AU140" s="158"/>
      <c r="AV140" s="158"/>
      <c r="AW140" s="158"/>
      <c r="AX140" s="158"/>
      <c r="AY140" s="158"/>
      <c r="AZ140" s="158"/>
      <c r="BA140" s="158"/>
      <c r="BB140" s="158"/>
    </row>
    <row r="141" spans="38:54" s="157" customFormat="1">
      <c r="AL141" s="158"/>
      <c r="AM141" s="158"/>
      <c r="AN141" s="158"/>
      <c r="AO141" s="158"/>
      <c r="AP141" s="158"/>
      <c r="AQ141" s="158"/>
      <c r="AR141" s="158"/>
      <c r="AS141" s="158"/>
      <c r="AT141" s="158"/>
      <c r="AU141" s="158"/>
      <c r="AV141" s="158"/>
      <c r="AW141" s="158"/>
      <c r="AX141" s="158"/>
      <c r="AY141" s="158"/>
      <c r="AZ141" s="158"/>
      <c r="BA141" s="158"/>
      <c r="BB141" s="158"/>
    </row>
    <row r="142" spans="38:54" s="157" customFormat="1">
      <c r="AL142" s="158"/>
      <c r="AM142" s="158"/>
      <c r="AN142" s="158"/>
      <c r="AO142" s="158"/>
      <c r="AP142" s="158"/>
      <c r="AQ142" s="158"/>
      <c r="AR142" s="158"/>
      <c r="AS142" s="158"/>
      <c r="AT142" s="158"/>
      <c r="AU142" s="158"/>
      <c r="AV142" s="158"/>
      <c r="AW142" s="158"/>
      <c r="AX142" s="158"/>
      <c r="AY142" s="158"/>
      <c r="AZ142" s="158"/>
      <c r="BA142" s="158"/>
      <c r="BB142" s="158"/>
    </row>
    <row r="143" spans="38:54" s="157" customFormat="1">
      <c r="AL143" s="158"/>
      <c r="AM143" s="158"/>
      <c r="AN143" s="158"/>
      <c r="AO143" s="158"/>
      <c r="AP143" s="158"/>
      <c r="AQ143" s="158"/>
      <c r="AR143" s="158"/>
      <c r="AS143" s="158"/>
      <c r="AT143" s="158"/>
      <c r="AU143" s="158"/>
      <c r="AV143" s="158"/>
      <c r="AW143" s="158"/>
      <c r="AX143" s="158"/>
      <c r="AY143" s="158"/>
      <c r="AZ143" s="158"/>
      <c r="BA143" s="158"/>
      <c r="BB143" s="158"/>
    </row>
    <row r="144" spans="38:54" s="157" customFormat="1">
      <c r="AL144" s="158"/>
      <c r="AM144" s="158"/>
      <c r="AN144" s="158"/>
      <c r="AO144" s="158"/>
      <c r="AP144" s="158"/>
      <c r="AQ144" s="158"/>
      <c r="AR144" s="158"/>
      <c r="AS144" s="158"/>
      <c r="AT144" s="158"/>
      <c r="AU144" s="158"/>
      <c r="AV144" s="158"/>
      <c r="AW144" s="158"/>
      <c r="AX144" s="158"/>
      <c r="AY144" s="158"/>
      <c r="AZ144" s="158"/>
      <c r="BA144" s="158"/>
      <c r="BB144" s="158"/>
    </row>
    <row r="145" spans="38:54" s="157" customFormat="1">
      <c r="AL145" s="158"/>
      <c r="AM145" s="158"/>
      <c r="AN145" s="158"/>
      <c r="AO145" s="158"/>
      <c r="AP145" s="158"/>
      <c r="AQ145" s="158"/>
      <c r="AR145" s="158"/>
      <c r="AS145" s="158"/>
      <c r="AT145" s="158"/>
      <c r="AU145" s="158"/>
      <c r="AV145" s="158"/>
      <c r="AW145" s="158"/>
      <c r="AX145" s="158"/>
      <c r="AY145" s="158"/>
      <c r="AZ145" s="158"/>
      <c r="BA145" s="158"/>
      <c r="BB145" s="158"/>
    </row>
    <row r="146" spans="38:54" s="157" customFormat="1">
      <c r="AL146" s="158"/>
      <c r="AM146" s="158"/>
      <c r="AN146" s="158"/>
      <c r="AO146" s="158"/>
      <c r="AP146" s="158"/>
      <c r="AQ146" s="158"/>
      <c r="AR146" s="158"/>
      <c r="AS146" s="158"/>
      <c r="AT146" s="158"/>
      <c r="AU146" s="158"/>
      <c r="AV146" s="158"/>
      <c r="AW146" s="158"/>
      <c r="AX146" s="158"/>
      <c r="AY146" s="158"/>
      <c r="AZ146" s="158"/>
      <c r="BA146" s="158"/>
      <c r="BB146" s="158"/>
    </row>
    <row r="147" spans="38:54" s="157" customFormat="1">
      <c r="AL147" s="158"/>
      <c r="AM147" s="158"/>
      <c r="AN147" s="158"/>
      <c r="AO147" s="158"/>
      <c r="AP147" s="158"/>
      <c r="AQ147" s="158"/>
      <c r="AR147" s="158"/>
      <c r="AS147" s="158"/>
      <c r="AT147" s="158"/>
      <c r="AU147" s="158"/>
      <c r="AV147" s="158"/>
      <c r="AW147" s="158"/>
      <c r="AX147" s="158"/>
      <c r="AY147" s="158"/>
      <c r="AZ147" s="158"/>
      <c r="BA147" s="158"/>
      <c r="BB147" s="158"/>
    </row>
    <row r="148" spans="38:54" s="157" customFormat="1">
      <c r="AL148" s="158"/>
      <c r="AM148" s="158"/>
      <c r="AN148" s="158"/>
      <c r="AO148" s="158"/>
      <c r="AP148" s="158"/>
      <c r="AQ148" s="158"/>
      <c r="AR148" s="158"/>
      <c r="AS148" s="158"/>
      <c r="AT148" s="158"/>
      <c r="AU148" s="158"/>
      <c r="AV148" s="158"/>
      <c r="AW148" s="158"/>
      <c r="AX148" s="158"/>
      <c r="AY148" s="158"/>
      <c r="AZ148" s="158"/>
      <c r="BA148" s="158"/>
      <c r="BB148" s="158"/>
    </row>
    <row r="149" spans="38:54" s="157" customFormat="1">
      <c r="AL149" s="158"/>
      <c r="AM149" s="158"/>
      <c r="AN149" s="158"/>
      <c r="AO149" s="158"/>
      <c r="AP149" s="158"/>
      <c r="AQ149" s="158"/>
      <c r="AR149" s="158"/>
      <c r="AS149" s="158"/>
      <c r="AT149" s="158"/>
      <c r="AU149" s="158"/>
      <c r="AV149" s="158"/>
      <c r="AW149" s="158"/>
      <c r="AX149" s="158"/>
      <c r="AY149" s="158"/>
      <c r="AZ149" s="158"/>
      <c r="BA149" s="158"/>
      <c r="BB149" s="158"/>
    </row>
    <row r="150" spans="38:54" s="157" customFormat="1">
      <c r="AL150" s="158"/>
      <c r="AM150" s="158"/>
      <c r="AN150" s="158"/>
      <c r="AO150" s="158"/>
      <c r="AP150" s="158"/>
      <c r="AQ150" s="158"/>
      <c r="AR150" s="158"/>
      <c r="AS150" s="158"/>
      <c r="AT150" s="158"/>
      <c r="AU150" s="158"/>
      <c r="AV150" s="158"/>
      <c r="AW150" s="158"/>
      <c r="AX150" s="158"/>
      <c r="AY150" s="158"/>
      <c r="AZ150" s="158"/>
      <c r="BA150" s="158"/>
      <c r="BB150" s="158"/>
    </row>
    <row r="151" spans="38:54" s="157" customFormat="1">
      <c r="AL151" s="158"/>
      <c r="AM151" s="158"/>
      <c r="AN151" s="158"/>
      <c r="AO151" s="158"/>
      <c r="AP151" s="158"/>
      <c r="AQ151" s="158"/>
      <c r="AR151" s="158"/>
      <c r="AS151" s="158"/>
      <c r="AT151" s="158"/>
      <c r="AU151" s="158"/>
      <c r="AV151" s="158"/>
      <c r="AW151" s="158"/>
      <c r="AX151" s="158"/>
      <c r="AY151" s="158"/>
      <c r="AZ151" s="158"/>
      <c r="BA151" s="158"/>
      <c r="BB151" s="158"/>
    </row>
  </sheetData>
  <sortState xmlns:xlrd2="http://schemas.microsoft.com/office/spreadsheetml/2017/richdata2" ref="B4:BH102">
    <sortCondition ref="B4:B102"/>
  </sortState>
  <mergeCells count="32">
    <mergeCell ref="AE2:AF2"/>
    <mergeCell ref="AG2:AH2"/>
    <mergeCell ref="AI1:AJ1"/>
    <mergeCell ref="AI2:AJ2"/>
    <mergeCell ref="AC2:AD2"/>
    <mergeCell ref="AG1:AH1"/>
    <mergeCell ref="AE1:AF1"/>
    <mergeCell ref="AC1:AD1"/>
    <mergeCell ref="AA2:AB2"/>
    <mergeCell ref="E2:F2"/>
    <mergeCell ref="G2:H2"/>
    <mergeCell ref="I2:J2"/>
    <mergeCell ref="K2:L2"/>
    <mergeCell ref="M2:N2"/>
    <mergeCell ref="O2:P2"/>
    <mergeCell ref="Q2:R2"/>
    <mergeCell ref="S2:T2"/>
    <mergeCell ref="U2:V2"/>
    <mergeCell ref="W2:X2"/>
    <mergeCell ref="Y2:Z2"/>
    <mergeCell ref="Q1:R1"/>
    <mergeCell ref="E1:F1"/>
    <mergeCell ref="G1:H1"/>
    <mergeCell ref="I1:J1"/>
    <mergeCell ref="K1:L1"/>
    <mergeCell ref="M1:N1"/>
    <mergeCell ref="O1:P1"/>
    <mergeCell ref="AA1:AB1"/>
    <mergeCell ref="Y1:Z1"/>
    <mergeCell ref="W1:X1"/>
    <mergeCell ref="U1:V1"/>
    <mergeCell ref="S1:T1"/>
  </mergeCells>
  <conditionalFormatting sqref="C4 B5:C48 D4:D49 B72:D76">
    <cfRule type="expression" dxfId="30" priority="14">
      <formula>OR(CELL("row")=ROW())</formula>
    </cfRule>
  </conditionalFormatting>
  <conditionalFormatting sqref="AL64:BB68 AL72:BB76">
    <cfRule type="cellIs" dxfId="29" priority="12" operator="equal">
      <formula>0</formula>
    </cfRule>
  </conditionalFormatting>
  <conditionalFormatting sqref="B4">
    <cfRule type="expression" dxfId="28" priority="11">
      <formula>OR(CELL("row")=ROW())</formula>
    </cfRule>
  </conditionalFormatting>
  <conditionalFormatting sqref="B95:B150">
    <cfRule type="expression" dxfId="27" priority="10">
      <formula>OR(CELL("row")=ROW())</formula>
    </cfRule>
  </conditionalFormatting>
  <conditionalFormatting sqref="B52:B53">
    <cfRule type="expression" dxfId="26" priority="5">
      <formula>OR(CELL("row")=ROW())</formula>
    </cfRule>
  </conditionalFormatting>
  <conditionalFormatting sqref="B54">
    <cfRule type="expression" dxfId="25" priority="4">
      <formula>OR(CELL("row")=ROW())</formula>
    </cfRule>
  </conditionalFormatting>
  <conditionalFormatting sqref="C77">
    <cfRule type="expression" dxfId="24" priority="3">
      <formula>OR(CELL("row")=ROW())</formula>
    </cfRule>
  </conditionalFormatting>
  <conditionalFormatting sqref="AL68">
    <cfRule type="cellIs" dxfId="23" priority="2" operator="equal">
      <formula>0</formula>
    </cfRule>
  </conditionalFormatting>
  <conditionalFormatting sqref="AO68">
    <cfRule type="cellIs" dxfId="22" priority="1"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0"/>
  <sheetViews>
    <sheetView workbookViewId="0">
      <selection activeCell="F4" sqref="F4"/>
    </sheetView>
  </sheetViews>
  <sheetFormatPr defaultRowHeight="15"/>
  <cols>
    <col min="1" max="1" width="25.140625" bestFit="1" customWidth="1"/>
    <col min="2" max="2" width="3.42578125" customWidth="1"/>
    <col min="3" max="3" width="17.42578125" customWidth="1"/>
    <col min="4" max="4" width="3.42578125" customWidth="1"/>
    <col min="5" max="5" width="22.85546875" bestFit="1" customWidth="1"/>
    <col min="6" max="6" width="3.42578125" customWidth="1"/>
    <col min="7" max="7" width="20.28515625" bestFit="1" customWidth="1"/>
    <col min="8" max="8" width="3.28515625" customWidth="1"/>
    <col min="9" max="9" width="19.85546875" bestFit="1" customWidth="1"/>
    <col min="10" max="10" width="3.85546875" customWidth="1"/>
    <col min="12" max="12" width="3.7109375" customWidth="1"/>
    <col min="13" max="13" width="21.140625" bestFit="1" customWidth="1"/>
    <col min="14" max="14" width="3.7109375" customWidth="1"/>
    <col min="15" max="15" width="21.140625" bestFit="1" customWidth="1"/>
    <col min="16" max="16" width="3.7109375" customWidth="1"/>
    <col min="17" max="17" width="38.28515625" customWidth="1"/>
    <col min="18" max="18" width="3.7109375" customWidth="1"/>
    <col min="19" max="19" width="9.85546875" bestFit="1" customWidth="1"/>
  </cols>
  <sheetData>
    <row r="1" spans="1:19" s="1" customFormat="1" ht="30">
      <c r="A1" s="3" t="s">
        <v>1648</v>
      </c>
      <c r="C1" s="3" t="s">
        <v>1649</v>
      </c>
      <c r="E1" s="3" t="s">
        <v>1650</v>
      </c>
      <c r="G1" s="3" t="s">
        <v>1651</v>
      </c>
      <c r="I1" s="3" t="s">
        <v>1652</v>
      </c>
      <c r="K1" s="3" t="s">
        <v>1653</v>
      </c>
      <c r="M1" s="3" t="s">
        <v>1654</v>
      </c>
      <c r="O1" s="3" t="s">
        <v>1655</v>
      </c>
      <c r="Q1" s="3" t="s">
        <v>1656</v>
      </c>
      <c r="S1" s="3" t="s">
        <v>1657</v>
      </c>
    </row>
    <row r="2" spans="1:19" s="1" customFormat="1" ht="60">
      <c r="A2" s="1" t="s">
        <v>266</v>
      </c>
      <c r="C2" s="1" t="s">
        <v>236</v>
      </c>
      <c r="E2" s="1" t="s">
        <v>207</v>
      </c>
      <c r="G2" s="1" t="s">
        <v>216</v>
      </c>
      <c r="I2" s="1" t="s">
        <v>249</v>
      </c>
      <c r="K2" s="1" t="s">
        <v>971</v>
      </c>
      <c r="M2" s="1" t="s">
        <v>221</v>
      </c>
      <c r="O2" s="1" t="s">
        <v>292</v>
      </c>
      <c r="Q2" s="2" t="s">
        <v>262</v>
      </c>
      <c r="S2" s="1" t="s">
        <v>208</v>
      </c>
    </row>
    <row r="3" spans="1:19" s="1" customFormat="1" ht="45">
      <c r="A3" s="1" t="s">
        <v>1658</v>
      </c>
      <c r="C3" s="1" t="s">
        <v>201</v>
      </c>
      <c r="E3" s="1" t="s">
        <v>1659</v>
      </c>
      <c r="G3" s="1" t="s">
        <v>251</v>
      </c>
      <c r="I3" s="1" t="s">
        <v>1189</v>
      </c>
      <c r="K3" s="1" t="s">
        <v>1169</v>
      </c>
      <c r="M3" s="1" t="s">
        <v>1660</v>
      </c>
      <c r="O3" s="1" t="s">
        <v>529</v>
      </c>
      <c r="Q3" s="2" t="s">
        <v>227</v>
      </c>
      <c r="S3" s="1" t="s">
        <v>254</v>
      </c>
    </row>
    <row r="4" spans="1:19" s="1" customFormat="1" ht="45">
      <c r="A4" s="1" t="s">
        <v>1661</v>
      </c>
      <c r="C4" s="1" t="s">
        <v>298</v>
      </c>
      <c r="E4" s="1" t="s">
        <v>1297</v>
      </c>
      <c r="G4" s="1" t="s">
        <v>217</v>
      </c>
      <c r="I4" s="1" t="s">
        <v>214</v>
      </c>
      <c r="K4" s="1" t="s">
        <v>200</v>
      </c>
      <c r="M4" s="1" t="s">
        <v>285</v>
      </c>
      <c r="O4" s="1" t="s">
        <v>225</v>
      </c>
      <c r="S4" s="1" t="s">
        <v>203</v>
      </c>
    </row>
    <row r="5" spans="1:19" s="1" customFormat="1" ht="60">
      <c r="A5" s="1" t="s">
        <v>446</v>
      </c>
      <c r="E5" s="1" t="s">
        <v>496</v>
      </c>
      <c r="G5" s="1" t="s">
        <v>252</v>
      </c>
      <c r="I5" s="1" t="s">
        <v>328</v>
      </c>
      <c r="K5" s="1" t="s">
        <v>210</v>
      </c>
      <c r="M5" s="1" t="s">
        <v>334</v>
      </c>
      <c r="O5" s="1" t="s">
        <v>219</v>
      </c>
      <c r="S5" s="1" t="s">
        <v>371</v>
      </c>
    </row>
    <row r="6" spans="1:19" s="1" customFormat="1" ht="30">
      <c r="A6" s="1" t="s">
        <v>341</v>
      </c>
      <c r="E6" s="1" t="s">
        <v>241</v>
      </c>
      <c r="M6" s="1" t="s">
        <v>254</v>
      </c>
      <c r="O6" s="1" t="s">
        <v>241</v>
      </c>
      <c r="Q6" s="3" t="s">
        <v>1662</v>
      </c>
      <c r="S6" s="1" t="s">
        <v>372</v>
      </c>
    </row>
    <row r="7" spans="1:19" s="1" customFormat="1" ht="60">
      <c r="A7" s="1" t="s">
        <v>196</v>
      </c>
      <c r="M7" s="1" t="s">
        <v>311</v>
      </c>
      <c r="O7" s="1" t="s">
        <v>261</v>
      </c>
      <c r="Q7" s="2" t="s">
        <v>228</v>
      </c>
      <c r="S7" s="1" t="s">
        <v>1663</v>
      </c>
    </row>
    <row r="8" spans="1:19" ht="60">
      <c r="A8" s="1" t="s">
        <v>381</v>
      </c>
      <c r="E8" s="1"/>
      <c r="K8" s="1"/>
      <c r="M8" s="1" t="s">
        <v>219</v>
      </c>
      <c r="O8" s="1"/>
      <c r="Q8" s="2" t="s">
        <v>420</v>
      </c>
      <c r="S8" s="1"/>
    </row>
    <row r="9" spans="1:19">
      <c r="A9" s="1" t="s">
        <v>905</v>
      </c>
      <c r="M9" s="1"/>
      <c r="O9" s="1"/>
      <c r="S9" s="1"/>
    </row>
    <row r="10" spans="1:19">
      <c r="S10"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744"/>
  <sheetViews>
    <sheetView workbookViewId="0">
      <pane xSplit="2" ySplit="1" topLeftCell="C627" activePane="bottomRight" state="frozen"/>
      <selection pane="bottomRight" activeCell="B733" sqref="B733"/>
      <selection pane="bottomLeft"/>
      <selection pane="topRight"/>
    </sheetView>
  </sheetViews>
  <sheetFormatPr defaultRowHeight="15"/>
  <cols>
    <col min="1" max="1" width="20.42578125" customWidth="1"/>
    <col min="2" max="2" width="21.5703125" customWidth="1"/>
    <col min="4" max="4" width="23.28515625" customWidth="1"/>
    <col min="13" max="13" width="30.42578125" bestFit="1" customWidth="1"/>
    <col min="14" max="14" width="28.28515625" customWidth="1"/>
    <col min="15" max="15" width="36" bestFit="1" customWidth="1"/>
    <col min="16" max="18" width="15.5703125" customWidth="1"/>
    <col min="19" max="19" width="17.140625" customWidth="1"/>
    <col min="20" max="21" width="19.85546875" customWidth="1"/>
  </cols>
  <sheetData>
    <row r="1" spans="1:21" ht="31.5" customHeight="1">
      <c r="A1" t="s">
        <v>1664</v>
      </c>
      <c r="C1" t="s">
        <v>1665</v>
      </c>
      <c r="D1" t="s">
        <v>1666</v>
      </c>
      <c r="E1" t="s">
        <v>1667</v>
      </c>
      <c r="F1" t="s">
        <v>1668</v>
      </c>
      <c r="G1" t="s">
        <v>1669</v>
      </c>
      <c r="H1" t="s">
        <v>1670</v>
      </c>
      <c r="I1" t="s">
        <v>1671</v>
      </c>
      <c r="J1" t="s">
        <v>1672</v>
      </c>
      <c r="K1" t="s">
        <v>1673</v>
      </c>
      <c r="L1" t="s">
        <v>1674</v>
      </c>
      <c r="M1" t="s">
        <v>1675</v>
      </c>
      <c r="N1" t="s">
        <v>1676</v>
      </c>
      <c r="O1" t="s">
        <v>1677</v>
      </c>
      <c r="P1" s="147" t="s">
        <v>1678</v>
      </c>
      <c r="Q1" s="147"/>
      <c r="R1" s="147"/>
      <c r="S1" s="149" t="s">
        <v>1679</v>
      </c>
      <c r="T1" s="147"/>
      <c r="U1" s="147"/>
    </row>
    <row r="2" spans="1:21" ht="45">
      <c r="A2" t="s">
        <v>1680</v>
      </c>
      <c r="B2" t="s">
        <v>1681</v>
      </c>
      <c r="C2" t="s">
        <v>1682</v>
      </c>
      <c r="G2" t="s">
        <v>1683</v>
      </c>
      <c r="H2" t="s">
        <v>1213</v>
      </c>
      <c r="I2" t="s">
        <v>1213</v>
      </c>
      <c r="J2" t="s">
        <v>1684</v>
      </c>
      <c r="K2" t="s">
        <v>1685</v>
      </c>
      <c r="L2" t="s">
        <v>1686</v>
      </c>
      <c r="P2" s="1" t="s">
        <v>1687</v>
      </c>
      <c r="Q2" s="1" t="s">
        <v>1688</v>
      </c>
      <c r="R2" s="1" t="s">
        <v>1689</v>
      </c>
      <c r="S2" s="1" t="s">
        <v>1687</v>
      </c>
      <c r="T2" s="1" t="s">
        <v>1688</v>
      </c>
      <c r="U2" s="1" t="s">
        <v>1689</v>
      </c>
    </row>
    <row r="3" spans="1:21">
      <c r="B3" t="s">
        <v>1690</v>
      </c>
      <c r="C3">
        <v>9</v>
      </c>
      <c r="G3">
        <v>55.6</v>
      </c>
      <c r="H3" s="16">
        <f>SUM(C3*G3)/100</f>
        <v>5.0040000000000004</v>
      </c>
      <c r="I3" s="16">
        <f>SUM(C3-H3)</f>
        <v>3.9959999999999996</v>
      </c>
      <c r="J3" s="16"/>
      <c r="K3" s="16"/>
      <c r="L3" s="16"/>
      <c r="M3" s="16"/>
      <c r="N3" s="16"/>
      <c r="O3" s="16"/>
    </row>
    <row r="4" spans="1:21">
      <c r="B4" t="s">
        <v>1691</v>
      </c>
      <c r="C4">
        <v>8</v>
      </c>
      <c r="G4">
        <v>75</v>
      </c>
      <c r="H4" s="16">
        <f t="shared" ref="H4:H12" si="0">SUM(C4*G4)/100</f>
        <v>6</v>
      </c>
      <c r="I4" s="16">
        <f t="shared" ref="I4:I13" si="1">SUM(C4-H4)</f>
        <v>2</v>
      </c>
      <c r="J4" s="16"/>
      <c r="K4" s="16"/>
      <c r="L4" s="16"/>
      <c r="M4" s="16"/>
      <c r="N4" s="16"/>
      <c r="O4" s="16"/>
      <c r="P4" t="s">
        <v>200</v>
      </c>
      <c r="Q4" t="s">
        <v>210</v>
      </c>
      <c r="R4" t="s">
        <v>210</v>
      </c>
      <c r="S4" t="s">
        <v>200</v>
      </c>
      <c r="T4" t="s">
        <v>210</v>
      </c>
      <c r="U4" t="s">
        <v>210</v>
      </c>
    </row>
    <row r="5" spans="1:21">
      <c r="B5" t="s">
        <v>1692</v>
      </c>
      <c r="C5">
        <v>19</v>
      </c>
      <c r="G5">
        <v>68</v>
      </c>
      <c r="H5" s="16">
        <f t="shared" si="0"/>
        <v>12.92</v>
      </c>
      <c r="I5" s="16">
        <f t="shared" si="1"/>
        <v>6.08</v>
      </c>
      <c r="J5" s="16"/>
      <c r="K5" s="16"/>
      <c r="L5" s="16"/>
      <c r="M5" s="16"/>
      <c r="N5" s="16"/>
      <c r="O5" s="16"/>
      <c r="P5" t="s">
        <v>200</v>
      </c>
      <c r="Q5" t="s">
        <v>210</v>
      </c>
      <c r="R5" t="s">
        <v>200</v>
      </c>
      <c r="S5" t="s">
        <v>210</v>
      </c>
      <c r="T5" t="s">
        <v>210</v>
      </c>
      <c r="U5" t="s">
        <v>200</v>
      </c>
    </row>
    <row r="6" spans="1:21">
      <c r="B6" t="s">
        <v>1693</v>
      </c>
      <c r="C6">
        <v>13</v>
      </c>
      <c r="G6">
        <f>SUM(H6/C6)*100</f>
        <v>84.615384615384613</v>
      </c>
      <c r="H6" s="16">
        <v>11</v>
      </c>
      <c r="I6" s="16">
        <f t="shared" si="1"/>
        <v>2</v>
      </c>
      <c r="J6" s="16"/>
      <c r="K6" s="16"/>
      <c r="L6" s="16"/>
      <c r="M6" s="16"/>
      <c r="N6" s="16"/>
      <c r="O6" s="16"/>
      <c r="P6" t="s">
        <v>200</v>
      </c>
      <c r="Q6" t="s">
        <v>210</v>
      </c>
      <c r="R6" t="s">
        <v>210</v>
      </c>
      <c r="S6" t="s">
        <v>200</v>
      </c>
      <c r="T6" t="s">
        <v>210</v>
      </c>
      <c r="U6" t="s">
        <v>200</v>
      </c>
    </row>
    <row r="7" spans="1:21">
      <c r="B7" t="s">
        <v>1694</v>
      </c>
      <c r="C7">
        <v>49</v>
      </c>
      <c r="G7">
        <v>86</v>
      </c>
      <c r="H7" s="16">
        <f t="shared" si="0"/>
        <v>42.14</v>
      </c>
      <c r="I7" s="16">
        <f t="shared" si="1"/>
        <v>6.8599999999999994</v>
      </c>
      <c r="J7" s="16"/>
      <c r="K7" s="16"/>
      <c r="L7" s="16"/>
      <c r="M7" s="16"/>
      <c r="N7" s="16"/>
      <c r="O7" s="16"/>
      <c r="P7" t="s">
        <v>204</v>
      </c>
      <c r="Q7" t="s">
        <v>204</v>
      </c>
      <c r="R7" t="s">
        <v>204</v>
      </c>
      <c r="S7" t="s">
        <v>200</v>
      </c>
      <c r="T7" t="s">
        <v>210</v>
      </c>
      <c r="U7" t="s">
        <v>210</v>
      </c>
    </row>
    <row r="8" spans="1:21">
      <c r="B8" t="s">
        <v>1695</v>
      </c>
      <c r="C8">
        <v>10</v>
      </c>
      <c r="G8">
        <v>100</v>
      </c>
      <c r="H8" s="16">
        <f t="shared" si="0"/>
        <v>10</v>
      </c>
      <c r="I8" s="16">
        <f t="shared" si="1"/>
        <v>0</v>
      </c>
      <c r="J8" s="16"/>
      <c r="K8" s="16"/>
      <c r="L8" s="16"/>
      <c r="M8" s="16"/>
      <c r="N8" s="16"/>
      <c r="O8" s="16"/>
      <c r="P8" t="s">
        <v>200</v>
      </c>
      <c r="Q8" t="s">
        <v>209</v>
      </c>
      <c r="R8" t="s">
        <v>209</v>
      </c>
      <c r="S8" t="s">
        <v>200</v>
      </c>
      <c r="T8" t="s">
        <v>209</v>
      </c>
      <c r="U8" t="s">
        <v>209</v>
      </c>
    </row>
    <row r="9" spans="1:21">
      <c r="B9" t="s">
        <v>1696</v>
      </c>
      <c r="C9">
        <v>22</v>
      </c>
      <c r="G9">
        <v>76</v>
      </c>
      <c r="H9" s="16">
        <f t="shared" si="0"/>
        <v>16.72</v>
      </c>
      <c r="I9" s="16">
        <f t="shared" si="1"/>
        <v>5.2800000000000011</v>
      </c>
      <c r="J9" s="16"/>
      <c r="K9" s="16"/>
      <c r="L9" s="16"/>
      <c r="M9" s="16"/>
      <c r="N9" s="16"/>
      <c r="O9" s="16"/>
      <c r="P9" t="s">
        <v>200</v>
      </c>
      <c r="Q9" t="s">
        <v>210</v>
      </c>
      <c r="R9" t="s">
        <v>210</v>
      </c>
      <c r="S9" t="s">
        <v>200</v>
      </c>
      <c r="T9" t="s">
        <v>210</v>
      </c>
      <c r="U9" t="s">
        <v>210</v>
      </c>
    </row>
    <row r="10" spans="1:21">
      <c r="B10" t="s">
        <v>1697</v>
      </c>
      <c r="C10">
        <v>14</v>
      </c>
      <c r="G10">
        <v>72</v>
      </c>
      <c r="H10" s="16">
        <f t="shared" si="0"/>
        <v>10.08</v>
      </c>
      <c r="I10" s="16">
        <f t="shared" si="1"/>
        <v>3.92</v>
      </c>
      <c r="J10" s="16"/>
      <c r="K10" s="16"/>
      <c r="L10" s="16"/>
      <c r="M10" s="16"/>
      <c r="N10" s="16"/>
      <c r="O10" s="16"/>
      <c r="P10" t="s">
        <v>200</v>
      </c>
      <c r="Q10" t="s">
        <v>209</v>
      </c>
      <c r="R10" t="s">
        <v>209</v>
      </c>
      <c r="S10" t="s">
        <v>204</v>
      </c>
      <c r="T10" t="s">
        <v>204</v>
      </c>
      <c r="U10" t="s">
        <v>204</v>
      </c>
    </row>
    <row r="11" spans="1:21">
      <c r="B11" t="s">
        <v>1698</v>
      </c>
      <c r="C11">
        <v>56</v>
      </c>
      <c r="G11">
        <v>81</v>
      </c>
      <c r="H11" s="16">
        <f t="shared" si="0"/>
        <v>45.36</v>
      </c>
      <c r="I11" s="16">
        <f t="shared" si="1"/>
        <v>10.64</v>
      </c>
      <c r="J11" s="16"/>
      <c r="K11" s="16"/>
      <c r="L11" s="16"/>
      <c r="M11" s="16"/>
      <c r="N11" s="16"/>
      <c r="O11" s="16"/>
      <c r="P11" t="s">
        <v>200</v>
      </c>
      <c r="Q11" t="s">
        <v>210</v>
      </c>
      <c r="R11" t="s">
        <v>210</v>
      </c>
      <c r="S11" t="s">
        <v>200</v>
      </c>
      <c r="T11" t="s">
        <v>210</v>
      </c>
      <c r="U11" t="s">
        <v>200</v>
      </c>
    </row>
    <row r="12" spans="1:21">
      <c r="B12" t="s">
        <v>1699</v>
      </c>
      <c r="C12">
        <v>11</v>
      </c>
      <c r="G12">
        <v>91</v>
      </c>
      <c r="H12" s="16">
        <f t="shared" si="0"/>
        <v>10.01</v>
      </c>
      <c r="I12" s="16">
        <f t="shared" si="1"/>
        <v>0.99000000000000021</v>
      </c>
      <c r="J12" s="16"/>
      <c r="K12" s="16"/>
      <c r="L12" s="16"/>
      <c r="M12" s="16"/>
      <c r="N12" s="16"/>
      <c r="O12" s="16"/>
      <c r="P12" t="s">
        <v>210</v>
      </c>
      <c r="Q12" t="s">
        <v>210</v>
      </c>
      <c r="R12" t="s">
        <v>200</v>
      </c>
      <c r="S12" t="s">
        <v>204</v>
      </c>
      <c r="T12" t="s">
        <v>204</v>
      </c>
      <c r="U12" t="s">
        <v>204</v>
      </c>
    </row>
    <row r="13" spans="1:21">
      <c r="B13" t="s">
        <v>1700</v>
      </c>
      <c r="C13">
        <v>5</v>
      </c>
      <c r="G13">
        <v>100</v>
      </c>
      <c r="H13" s="16">
        <f>SUM(C13*G13)/100</f>
        <v>5</v>
      </c>
      <c r="I13" s="16">
        <f t="shared" si="1"/>
        <v>0</v>
      </c>
      <c r="J13" s="16"/>
      <c r="K13" s="16"/>
      <c r="L13" s="16"/>
      <c r="M13" s="16"/>
      <c r="N13" s="16"/>
      <c r="O13" s="16"/>
      <c r="P13" t="s">
        <v>200</v>
      </c>
      <c r="Q13" t="s">
        <v>200</v>
      </c>
      <c r="R13" t="s">
        <v>210</v>
      </c>
      <c r="S13" t="s">
        <v>204</v>
      </c>
      <c r="T13" t="s">
        <v>204</v>
      </c>
      <c r="U13" t="s">
        <v>204</v>
      </c>
    </row>
    <row r="14" spans="1:21">
      <c r="B14" t="s">
        <v>1642</v>
      </c>
      <c r="H14" s="16">
        <f>SUM(H3:H13)</f>
        <v>174.23399999999998</v>
      </c>
      <c r="I14" s="16">
        <f>SUM(I3:I13)</f>
        <v>41.766000000000005</v>
      </c>
      <c r="J14" s="16"/>
      <c r="K14" s="16"/>
      <c r="L14" s="16"/>
      <c r="M14" s="16"/>
      <c r="N14" s="16"/>
      <c r="O14" s="16" t="s">
        <v>1701</v>
      </c>
      <c r="P14">
        <f t="shared" ref="P14:U14" si="2">COUNTIF(P4:P13, "yes")</f>
        <v>8</v>
      </c>
      <c r="Q14">
        <f t="shared" si="2"/>
        <v>1</v>
      </c>
      <c r="R14">
        <f t="shared" si="2"/>
        <v>2</v>
      </c>
      <c r="S14">
        <f t="shared" si="2"/>
        <v>6</v>
      </c>
      <c r="T14">
        <f t="shared" si="2"/>
        <v>0</v>
      </c>
      <c r="U14">
        <f t="shared" si="2"/>
        <v>3</v>
      </c>
    </row>
    <row r="15" spans="1:21">
      <c r="O15" t="s">
        <v>1702</v>
      </c>
      <c r="P15">
        <f t="shared" ref="P15:U15" si="3">COUNTIF(P4:P13, "no")</f>
        <v>1</v>
      </c>
      <c r="Q15">
        <f t="shared" si="3"/>
        <v>6</v>
      </c>
      <c r="R15">
        <f t="shared" si="3"/>
        <v>5</v>
      </c>
      <c r="S15">
        <f t="shared" si="3"/>
        <v>1</v>
      </c>
      <c r="T15">
        <f t="shared" si="3"/>
        <v>6</v>
      </c>
      <c r="U15">
        <f t="shared" si="3"/>
        <v>3</v>
      </c>
    </row>
    <row r="16" spans="1:21">
      <c r="O16" t="s">
        <v>1703</v>
      </c>
      <c r="P16">
        <f t="shared" ref="P16:U16" si="4">SUM(P14:P15)</f>
        <v>9</v>
      </c>
      <c r="Q16">
        <f t="shared" si="4"/>
        <v>7</v>
      </c>
      <c r="R16">
        <f t="shared" si="4"/>
        <v>7</v>
      </c>
      <c r="S16">
        <f t="shared" si="4"/>
        <v>7</v>
      </c>
      <c r="T16">
        <f t="shared" si="4"/>
        <v>6</v>
      </c>
      <c r="U16">
        <f t="shared" si="4"/>
        <v>6</v>
      </c>
    </row>
    <row r="17" spans="1:21">
      <c r="O17" s="16" t="s">
        <v>1704</v>
      </c>
      <c r="P17" s="15">
        <f t="shared" ref="P17:U17" si="5">SUM(P14/P16)*100</f>
        <v>88.888888888888886</v>
      </c>
      <c r="Q17" s="15">
        <f t="shared" si="5"/>
        <v>14.285714285714285</v>
      </c>
      <c r="R17" s="15">
        <f t="shared" si="5"/>
        <v>28.571428571428569</v>
      </c>
      <c r="S17" s="15">
        <f t="shared" si="5"/>
        <v>85.714285714285708</v>
      </c>
      <c r="T17" s="15">
        <f t="shared" si="5"/>
        <v>0</v>
      </c>
      <c r="U17" s="15">
        <f t="shared" si="5"/>
        <v>50</v>
      </c>
    </row>
    <row r="18" spans="1:21">
      <c r="O18" s="16"/>
    </row>
    <row r="20" spans="1:21">
      <c r="A20" t="s">
        <v>1705</v>
      </c>
      <c r="B20" s="19" t="s">
        <v>1706</v>
      </c>
      <c r="C20" s="19">
        <v>31</v>
      </c>
      <c r="G20" t="s">
        <v>209</v>
      </c>
      <c r="H20" t="s">
        <v>209</v>
      </c>
      <c r="I20" t="s">
        <v>209</v>
      </c>
      <c r="J20" t="s">
        <v>209</v>
      </c>
      <c r="K20" t="s">
        <v>209</v>
      </c>
      <c r="M20" t="s">
        <v>1707</v>
      </c>
    </row>
    <row r="21" spans="1:21">
      <c r="B21" s="19" t="s">
        <v>1708</v>
      </c>
      <c r="C21" s="19">
        <v>31</v>
      </c>
      <c r="D21">
        <v>11</v>
      </c>
      <c r="J21" t="s">
        <v>209</v>
      </c>
      <c r="K21" t="s">
        <v>209</v>
      </c>
    </row>
    <row r="22" spans="1:21">
      <c r="B22" t="s">
        <v>1709</v>
      </c>
      <c r="C22">
        <v>34</v>
      </c>
      <c r="D22">
        <v>15</v>
      </c>
      <c r="E22">
        <v>46</v>
      </c>
      <c r="F22">
        <v>42</v>
      </c>
      <c r="J22" t="s">
        <v>209</v>
      </c>
      <c r="K22" t="s">
        <v>209</v>
      </c>
      <c r="M22" t="s">
        <v>1710</v>
      </c>
    </row>
    <row r="23" spans="1:21">
      <c r="B23" t="s">
        <v>1711</v>
      </c>
      <c r="C23">
        <v>3</v>
      </c>
      <c r="J23" t="s">
        <v>1712</v>
      </c>
      <c r="K23" t="s">
        <v>209</v>
      </c>
      <c r="M23" t="s">
        <v>1710</v>
      </c>
    </row>
    <row r="24" spans="1:21">
      <c r="B24" t="s">
        <v>1713</v>
      </c>
      <c r="C24">
        <v>26</v>
      </c>
      <c r="J24" t="s">
        <v>209</v>
      </c>
      <c r="K24" t="s">
        <v>209</v>
      </c>
      <c r="M24" t="s">
        <v>1710</v>
      </c>
    </row>
    <row r="25" spans="1:21">
      <c r="B25" t="s">
        <v>1714</v>
      </c>
      <c r="C25">
        <v>2</v>
      </c>
      <c r="J25" t="s">
        <v>209</v>
      </c>
      <c r="K25" t="s">
        <v>209</v>
      </c>
      <c r="M25" t="s">
        <v>1707</v>
      </c>
    </row>
    <row r="26" spans="1:21">
      <c r="B26" t="s">
        <v>1715</v>
      </c>
      <c r="C26">
        <v>5</v>
      </c>
      <c r="J26">
        <v>45</v>
      </c>
      <c r="K26" t="s">
        <v>209</v>
      </c>
      <c r="M26" t="s">
        <v>1716</v>
      </c>
    </row>
    <row r="27" spans="1:21">
      <c r="B27" s="19" t="s">
        <v>1717</v>
      </c>
      <c r="C27" s="19">
        <v>29</v>
      </c>
      <c r="J27" t="s">
        <v>209</v>
      </c>
      <c r="K27" t="s">
        <v>209</v>
      </c>
      <c r="M27" t="s">
        <v>1707</v>
      </c>
    </row>
    <row r="28" spans="1:21">
      <c r="B28" s="19" t="s">
        <v>1718</v>
      </c>
      <c r="C28" s="19">
        <v>24</v>
      </c>
      <c r="J28" t="s">
        <v>209</v>
      </c>
      <c r="K28" t="s">
        <v>209</v>
      </c>
    </row>
    <row r="29" spans="1:21">
      <c r="B29" s="19" t="s">
        <v>1719</v>
      </c>
      <c r="C29" s="19" t="s">
        <v>1720</v>
      </c>
      <c r="J29" t="s">
        <v>209</v>
      </c>
      <c r="K29" t="s">
        <v>209</v>
      </c>
    </row>
    <row r="30" spans="1:21">
      <c r="B30" s="19" t="s">
        <v>1721</v>
      </c>
      <c r="C30" s="19" t="s">
        <v>1720</v>
      </c>
      <c r="J30" t="s">
        <v>209</v>
      </c>
      <c r="K30" t="s">
        <v>209</v>
      </c>
    </row>
    <row r="31" spans="1:21">
      <c r="B31" t="s">
        <v>1722</v>
      </c>
      <c r="C31">
        <v>3</v>
      </c>
      <c r="J31">
        <v>65</v>
      </c>
      <c r="M31" t="s">
        <v>1710</v>
      </c>
    </row>
    <row r="32" spans="1:21">
      <c r="B32" t="s">
        <v>1723</v>
      </c>
      <c r="C32" t="s">
        <v>209</v>
      </c>
      <c r="J32" t="s">
        <v>209</v>
      </c>
      <c r="K32" t="s">
        <v>209</v>
      </c>
      <c r="M32" t="s">
        <v>1724</v>
      </c>
    </row>
    <row r="33" spans="1:13">
      <c r="B33" t="s">
        <v>1725</v>
      </c>
      <c r="C33" t="s">
        <v>1726</v>
      </c>
      <c r="J33" t="s">
        <v>209</v>
      </c>
      <c r="K33" t="s">
        <v>209</v>
      </c>
      <c r="M33" t="s">
        <v>1710</v>
      </c>
    </row>
    <row r="34" spans="1:13">
      <c r="B34" t="s">
        <v>1727</v>
      </c>
      <c r="C34">
        <v>5</v>
      </c>
      <c r="D34" t="s">
        <v>209</v>
      </c>
      <c r="E34" t="s">
        <v>209</v>
      </c>
      <c r="J34">
        <v>21</v>
      </c>
      <c r="K34">
        <v>27</v>
      </c>
      <c r="M34" t="s">
        <v>1710</v>
      </c>
    </row>
    <row r="35" spans="1:13">
      <c r="B35" t="s">
        <v>1728</v>
      </c>
      <c r="C35">
        <v>50</v>
      </c>
      <c r="D35">
        <v>10</v>
      </c>
      <c r="E35">
        <v>20</v>
      </c>
      <c r="J35" t="s">
        <v>209</v>
      </c>
      <c r="K35" t="s">
        <v>209</v>
      </c>
      <c r="M35" t="s">
        <v>1710</v>
      </c>
    </row>
    <row r="36" spans="1:13">
      <c r="B36" t="s">
        <v>1729</v>
      </c>
      <c r="C36" t="s">
        <v>209</v>
      </c>
      <c r="J36" t="s">
        <v>209</v>
      </c>
      <c r="K36" t="s">
        <v>209</v>
      </c>
      <c r="M36" t="s">
        <v>1710</v>
      </c>
    </row>
    <row r="37" spans="1:13">
      <c r="B37" t="s">
        <v>1642</v>
      </c>
      <c r="C37">
        <f>SUM(C21:C36)-24</f>
        <v>188</v>
      </c>
      <c r="D37">
        <f>SUM(D20:D36)</f>
        <v>36</v>
      </c>
      <c r="E37">
        <f>SUM(E20:E36)</f>
        <v>66</v>
      </c>
    </row>
    <row r="42" spans="1:13">
      <c r="A42" t="s">
        <v>1730</v>
      </c>
      <c r="B42" t="s">
        <v>1731</v>
      </c>
      <c r="C42">
        <v>25</v>
      </c>
    </row>
    <row r="43" spans="1:13">
      <c r="B43" t="s">
        <v>1732</v>
      </c>
      <c r="C43">
        <v>9</v>
      </c>
    </row>
    <row r="44" spans="1:13">
      <c r="B44" t="s">
        <v>1733</v>
      </c>
      <c r="C44">
        <v>4</v>
      </c>
    </row>
    <row r="45" spans="1:13">
      <c r="B45" t="s">
        <v>1734</v>
      </c>
      <c r="C45">
        <v>12</v>
      </c>
    </row>
    <row r="46" spans="1:13">
      <c r="B46" s="1" t="s">
        <v>1735</v>
      </c>
      <c r="C46">
        <v>12</v>
      </c>
    </row>
    <row r="47" spans="1:13">
      <c r="B47" t="s">
        <v>1736</v>
      </c>
      <c r="C47">
        <v>68</v>
      </c>
    </row>
    <row r="48" spans="1:13">
      <c r="B48" t="s">
        <v>1737</v>
      </c>
      <c r="C48">
        <v>5</v>
      </c>
    </row>
    <row r="49" spans="1:12">
      <c r="B49" t="s">
        <v>1738</v>
      </c>
      <c r="C49">
        <v>45</v>
      </c>
    </row>
    <row r="50" spans="1:12">
      <c r="B50" t="s">
        <v>1739</v>
      </c>
    </row>
    <row r="51" spans="1:12">
      <c r="B51" t="s">
        <v>1740</v>
      </c>
      <c r="C51">
        <v>5</v>
      </c>
    </row>
    <row r="52" spans="1:12">
      <c r="B52" t="s">
        <v>1741</v>
      </c>
      <c r="C52">
        <v>5</v>
      </c>
    </row>
    <row r="53" spans="1:12">
      <c r="B53" t="s">
        <v>1742</v>
      </c>
      <c r="C53">
        <v>6</v>
      </c>
    </row>
    <row r="54" spans="1:12">
      <c r="C54">
        <f>SUM(C42:C53)</f>
        <v>196</v>
      </c>
    </row>
    <row r="56" spans="1:12">
      <c r="A56" t="s">
        <v>359</v>
      </c>
      <c r="B56" t="s">
        <v>1743</v>
      </c>
      <c r="D56">
        <f>SUM(H56:I56)</f>
        <v>3</v>
      </c>
      <c r="H56">
        <v>3</v>
      </c>
      <c r="I56">
        <v>0</v>
      </c>
      <c r="J56">
        <v>17</v>
      </c>
      <c r="K56">
        <v>20</v>
      </c>
      <c r="L56" t="s">
        <v>1744</v>
      </c>
    </row>
    <row r="57" spans="1:12">
      <c r="B57" t="s">
        <v>1697</v>
      </c>
      <c r="D57">
        <f>SUM(H57:I57)</f>
        <v>14</v>
      </c>
      <c r="H57">
        <v>10</v>
      </c>
      <c r="I57">
        <v>4</v>
      </c>
      <c r="J57">
        <v>18</v>
      </c>
      <c r="K57">
        <v>40</v>
      </c>
      <c r="L57" t="s">
        <v>1745</v>
      </c>
    </row>
    <row r="58" spans="1:12">
      <c r="B58" t="s">
        <v>1746</v>
      </c>
      <c r="D58">
        <v>6</v>
      </c>
      <c r="J58">
        <v>27</v>
      </c>
      <c r="K58">
        <v>36</v>
      </c>
      <c r="L58" t="s">
        <v>209</v>
      </c>
    </row>
    <row r="59" spans="1:12">
      <c r="B59" t="s">
        <v>1747</v>
      </c>
      <c r="D59">
        <f>SUM(H59:I59)</f>
        <v>19</v>
      </c>
      <c r="H59">
        <f>SUM(8+7)</f>
        <v>15</v>
      </c>
      <c r="I59">
        <f>SUM(2+2)</f>
        <v>4</v>
      </c>
      <c r="J59" t="s">
        <v>209</v>
      </c>
      <c r="K59" t="s">
        <v>209</v>
      </c>
      <c r="L59" t="s">
        <v>1748</v>
      </c>
    </row>
    <row r="60" spans="1:12">
      <c r="B60" t="s">
        <v>1749</v>
      </c>
      <c r="D60">
        <f>SUM(H60:I60)</f>
        <v>4</v>
      </c>
      <c r="H60">
        <v>4</v>
      </c>
      <c r="J60">
        <v>17</v>
      </c>
      <c r="K60">
        <v>32</v>
      </c>
    </row>
    <row r="61" spans="1:12">
      <c r="D61">
        <f>SUM(D56:D60)</f>
        <v>46</v>
      </c>
      <c r="H61">
        <f>SUM(H56:H60)</f>
        <v>32</v>
      </c>
      <c r="I61">
        <f>SUM(I56:I60)</f>
        <v>8</v>
      </c>
    </row>
    <row r="64" spans="1:12">
      <c r="A64" t="s">
        <v>421</v>
      </c>
      <c r="B64" t="s">
        <v>1750</v>
      </c>
      <c r="C64">
        <f>SUM(H64:I64)</f>
        <v>1</v>
      </c>
      <c r="H64">
        <v>1</v>
      </c>
      <c r="I64">
        <v>0</v>
      </c>
      <c r="J64">
        <v>25</v>
      </c>
    </row>
    <row r="65" spans="1:17">
      <c r="B65" t="s">
        <v>1751</v>
      </c>
      <c r="C65">
        <f t="shared" ref="C65:C68" si="6">SUM(H65:I65)</f>
        <v>41</v>
      </c>
      <c r="H65">
        <v>24</v>
      </c>
      <c r="I65">
        <v>17</v>
      </c>
    </row>
    <row r="66" spans="1:17">
      <c r="B66" t="s">
        <v>1752</v>
      </c>
      <c r="C66">
        <v>26</v>
      </c>
      <c r="H66">
        <f>SUM(7+6)</f>
        <v>13</v>
      </c>
      <c r="I66">
        <v>12</v>
      </c>
    </row>
    <row r="67" spans="1:17">
      <c r="B67" t="s">
        <v>1753</v>
      </c>
      <c r="C67">
        <f t="shared" si="6"/>
        <v>31</v>
      </c>
      <c r="H67">
        <v>17</v>
      </c>
      <c r="I67">
        <v>14</v>
      </c>
    </row>
    <row r="68" spans="1:17">
      <c r="B68" t="s">
        <v>1754</v>
      </c>
      <c r="C68">
        <f t="shared" si="6"/>
        <v>38</v>
      </c>
      <c r="H68">
        <v>30</v>
      </c>
      <c r="I68">
        <v>8</v>
      </c>
    </row>
    <row r="69" spans="1:17">
      <c r="C69">
        <f>SUM(C64:C68)</f>
        <v>137</v>
      </c>
      <c r="H69">
        <f t="shared" ref="H69:I69" si="7">SUM(H64:H68)</f>
        <v>85</v>
      </c>
      <c r="I69">
        <f t="shared" si="7"/>
        <v>51</v>
      </c>
    </row>
    <row r="70" spans="1:17">
      <c r="N70" t="s">
        <v>1755</v>
      </c>
    </row>
    <row r="71" spans="1:17">
      <c r="L71" t="s">
        <v>1756</v>
      </c>
      <c r="M71" t="s">
        <v>1757</v>
      </c>
      <c r="N71" t="s">
        <v>1326</v>
      </c>
      <c r="O71" t="s">
        <v>1758</v>
      </c>
    </row>
    <row r="72" spans="1:17">
      <c r="A72" t="s">
        <v>444</v>
      </c>
      <c r="B72" t="s">
        <v>1759</v>
      </c>
      <c r="C72">
        <f t="shared" ref="C72:C87" si="8">SUM(H72:I72)</f>
        <v>150</v>
      </c>
      <c r="H72">
        <v>90</v>
      </c>
      <c r="I72">
        <v>60</v>
      </c>
      <c r="L72">
        <v>38.799999999999997</v>
      </c>
      <c r="M72">
        <v>9.1</v>
      </c>
      <c r="N72">
        <v>3</v>
      </c>
      <c r="O72" s="16">
        <v>1</v>
      </c>
      <c r="P72" s="16">
        <f t="shared" ref="P72:P74" si="9">SUM(N72:O72)</f>
        <v>4</v>
      </c>
      <c r="Q72">
        <v>2</v>
      </c>
    </row>
    <row r="73" spans="1:17">
      <c r="B73" t="s">
        <v>1760</v>
      </c>
      <c r="C73">
        <f t="shared" si="8"/>
        <v>120</v>
      </c>
      <c r="H73">
        <v>72</v>
      </c>
      <c r="I73">
        <v>48</v>
      </c>
      <c r="L73">
        <v>39</v>
      </c>
      <c r="M73">
        <v>9</v>
      </c>
      <c r="N73">
        <v>5</v>
      </c>
      <c r="O73" s="16">
        <v>0</v>
      </c>
      <c r="P73" s="16">
        <f t="shared" si="9"/>
        <v>5</v>
      </c>
      <c r="Q73">
        <v>4</v>
      </c>
    </row>
    <row r="74" spans="1:17">
      <c r="B74" t="s">
        <v>1761</v>
      </c>
      <c r="C74">
        <f>SUM(H74:I74)</f>
        <v>41</v>
      </c>
      <c r="H74">
        <v>27</v>
      </c>
      <c r="I74">
        <v>14</v>
      </c>
      <c r="L74">
        <v>43.9</v>
      </c>
      <c r="M74">
        <v>11.3</v>
      </c>
      <c r="N74">
        <v>5</v>
      </c>
      <c r="O74" s="16">
        <v>1</v>
      </c>
      <c r="P74" s="16">
        <f t="shared" si="9"/>
        <v>6</v>
      </c>
      <c r="Q74">
        <v>3</v>
      </c>
    </row>
    <row r="75" spans="1:17">
      <c r="C75">
        <f t="shared" si="8"/>
        <v>36</v>
      </c>
      <c r="H75">
        <v>24</v>
      </c>
      <c r="I75">
        <v>12</v>
      </c>
      <c r="L75">
        <v>44.1</v>
      </c>
      <c r="M75">
        <v>12</v>
      </c>
      <c r="O75" s="16"/>
      <c r="P75" s="16"/>
    </row>
    <row r="76" spans="1:17">
      <c r="B76" t="s">
        <v>1762</v>
      </c>
      <c r="C76">
        <f t="shared" si="8"/>
        <v>46</v>
      </c>
      <c r="H76">
        <v>26</v>
      </c>
      <c r="I76">
        <v>20</v>
      </c>
      <c r="L76">
        <v>48.3</v>
      </c>
      <c r="M76">
        <v>4.21</v>
      </c>
      <c r="N76">
        <v>3</v>
      </c>
      <c r="O76" s="16">
        <v>1</v>
      </c>
      <c r="P76" s="16">
        <f>SUM(N76:O76)</f>
        <v>4</v>
      </c>
    </row>
    <row r="77" spans="1:17">
      <c r="C77">
        <f t="shared" si="8"/>
        <v>43</v>
      </c>
      <c r="H77">
        <v>25</v>
      </c>
      <c r="I77">
        <v>18</v>
      </c>
      <c r="L77">
        <v>17.600000000000001</v>
      </c>
      <c r="M77">
        <v>4.8499999999999996</v>
      </c>
      <c r="O77" s="16"/>
      <c r="P77" s="16"/>
    </row>
    <row r="78" spans="1:17">
      <c r="B78" t="s">
        <v>1763</v>
      </c>
      <c r="C78">
        <f t="shared" si="8"/>
        <v>82</v>
      </c>
      <c r="H78">
        <v>82</v>
      </c>
      <c r="I78">
        <v>0</v>
      </c>
      <c r="L78" s="22">
        <v>4</v>
      </c>
      <c r="M78">
        <v>10</v>
      </c>
      <c r="N78">
        <v>4</v>
      </c>
      <c r="O78" s="16">
        <v>1</v>
      </c>
      <c r="P78" s="16">
        <f t="shared" ref="P78:P79" si="10">SUM(N78:O78)</f>
        <v>5</v>
      </c>
    </row>
    <row r="79" spans="1:17">
      <c r="B79" t="s">
        <v>1764</v>
      </c>
      <c r="C79">
        <f t="shared" si="8"/>
        <v>39</v>
      </c>
      <c r="H79">
        <v>28</v>
      </c>
      <c r="I79">
        <v>11</v>
      </c>
      <c r="L79">
        <v>37</v>
      </c>
      <c r="M79">
        <v>8.2799999999999994</v>
      </c>
      <c r="N79">
        <v>4</v>
      </c>
      <c r="O79" s="16">
        <v>1</v>
      </c>
      <c r="P79" s="16">
        <f t="shared" si="10"/>
        <v>5</v>
      </c>
    </row>
    <row r="80" spans="1:17">
      <c r="C80">
        <f t="shared" si="8"/>
        <v>37</v>
      </c>
      <c r="H80">
        <v>25</v>
      </c>
      <c r="I80">
        <v>12</v>
      </c>
      <c r="L80">
        <v>36.340000000000003</v>
      </c>
      <c r="M80">
        <v>10.14</v>
      </c>
      <c r="O80" s="16"/>
      <c r="P80" s="16"/>
    </row>
    <row r="81" spans="1:19">
      <c r="B81" t="s">
        <v>1765</v>
      </c>
      <c r="C81">
        <f t="shared" si="8"/>
        <v>158</v>
      </c>
      <c r="H81">
        <v>96</v>
      </c>
      <c r="I81">
        <v>62</v>
      </c>
      <c r="L81">
        <v>41</v>
      </c>
      <c r="M81">
        <v>0</v>
      </c>
      <c r="N81">
        <v>3</v>
      </c>
      <c r="O81" s="16">
        <v>0</v>
      </c>
      <c r="P81" s="16">
        <f t="shared" ref="P81:P82" si="11">SUM(N81:O81)</f>
        <v>3</v>
      </c>
      <c r="Q81">
        <v>1</v>
      </c>
    </row>
    <row r="82" spans="1:19">
      <c r="B82" t="s">
        <v>1766</v>
      </c>
      <c r="C82">
        <f t="shared" si="8"/>
        <v>26</v>
      </c>
      <c r="H82">
        <v>18</v>
      </c>
      <c r="I82">
        <v>8</v>
      </c>
      <c r="L82">
        <v>48.25</v>
      </c>
      <c r="M82">
        <v>1.35</v>
      </c>
      <c r="N82">
        <v>5</v>
      </c>
      <c r="O82" s="16">
        <v>1</v>
      </c>
      <c r="P82" s="16">
        <f t="shared" si="11"/>
        <v>6</v>
      </c>
    </row>
    <row r="83" spans="1:19">
      <c r="C83">
        <f t="shared" si="8"/>
        <v>26</v>
      </c>
      <c r="H83">
        <v>17</v>
      </c>
      <c r="I83">
        <v>9</v>
      </c>
      <c r="L83">
        <v>48.21</v>
      </c>
      <c r="M83">
        <v>1.45</v>
      </c>
      <c r="O83" s="16"/>
      <c r="P83" s="16"/>
    </row>
    <row r="84" spans="1:19">
      <c r="B84" t="s">
        <v>1766</v>
      </c>
      <c r="C84">
        <v>80</v>
      </c>
      <c r="J84">
        <v>18</v>
      </c>
      <c r="K84">
        <v>60</v>
      </c>
      <c r="N84">
        <v>6</v>
      </c>
      <c r="O84" s="16">
        <v>1</v>
      </c>
      <c r="P84" s="16">
        <f t="shared" ref="P84:P85" si="12">SUM(N84:O84)</f>
        <v>7</v>
      </c>
      <c r="Q84">
        <v>1</v>
      </c>
    </row>
    <row r="85" spans="1:19">
      <c r="B85" t="s">
        <v>1767</v>
      </c>
      <c r="C85">
        <f t="shared" si="8"/>
        <v>48</v>
      </c>
      <c r="H85">
        <v>0</v>
      </c>
      <c r="I85">
        <v>48</v>
      </c>
      <c r="L85">
        <v>40</v>
      </c>
      <c r="M85">
        <v>7</v>
      </c>
      <c r="N85">
        <v>6</v>
      </c>
      <c r="O85" s="16">
        <v>0</v>
      </c>
      <c r="P85" s="16">
        <f t="shared" si="12"/>
        <v>6</v>
      </c>
    </row>
    <row r="86" spans="1:19">
      <c r="B86" t="s">
        <v>1768</v>
      </c>
      <c r="C86">
        <f>SUM(H86:I86)</f>
        <v>30</v>
      </c>
      <c r="H86">
        <v>14</v>
      </c>
      <c r="I86">
        <v>16</v>
      </c>
      <c r="L86">
        <v>37.17</v>
      </c>
      <c r="M86">
        <v>7.15</v>
      </c>
      <c r="N86">
        <v>4</v>
      </c>
      <c r="O86" s="16">
        <v>1</v>
      </c>
      <c r="P86" s="16">
        <f>SUM(N86:O86)</f>
        <v>5</v>
      </c>
    </row>
    <row r="87" spans="1:19">
      <c r="C87">
        <f t="shared" ref="C87" si="13">SUM(H87:I87)</f>
        <v>30</v>
      </c>
      <c r="H87">
        <v>13</v>
      </c>
      <c r="I87">
        <v>17</v>
      </c>
      <c r="L87">
        <v>38.03</v>
      </c>
      <c r="M87">
        <v>5.9</v>
      </c>
      <c r="O87" s="16"/>
      <c r="P87" s="23"/>
    </row>
    <row r="88" spans="1:19">
      <c r="C88">
        <f>SUM(C72:C86)</f>
        <v>962</v>
      </c>
      <c r="H88">
        <f>SUM(H72:H86)</f>
        <v>544</v>
      </c>
      <c r="I88">
        <f>SUM(I72:I86)</f>
        <v>338</v>
      </c>
    </row>
    <row r="89" spans="1:19">
      <c r="A89" t="s">
        <v>1088</v>
      </c>
      <c r="P89" t="s">
        <v>1769</v>
      </c>
      <c r="Q89" t="s">
        <v>1770</v>
      </c>
      <c r="R89" t="s">
        <v>1771</v>
      </c>
    </row>
    <row r="90" spans="1:19">
      <c r="B90" t="s">
        <v>1772</v>
      </c>
      <c r="C90">
        <v>8</v>
      </c>
      <c r="H90">
        <v>5</v>
      </c>
      <c r="I90">
        <v>3</v>
      </c>
      <c r="J90">
        <v>37</v>
      </c>
      <c r="K90">
        <v>41</v>
      </c>
      <c r="L90" t="s">
        <v>209</v>
      </c>
      <c r="N90" t="s">
        <v>1773</v>
      </c>
      <c r="O90" s="23" t="s">
        <v>1774</v>
      </c>
      <c r="P90">
        <v>5</v>
      </c>
      <c r="Q90">
        <v>2</v>
      </c>
      <c r="R90" s="29" t="s">
        <v>1775</v>
      </c>
      <c r="S90" t="s">
        <v>247</v>
      </c>
    </row>
    <row r="91" spans="1:19">
      <c r="B91" t="s">
        <v>1776</v>
      </c>
      <c r="C91">
        <v>3</v>
      </c>
      <c r="H91">
        <v>1</v>
      </c>
      <c r="I91">
        <v>2</v>
      </c>
      <c r="J91">
        <v>25</v>
      </c>
      <c r="K91">
        <v>27</v>
      </c>
      <c r="M91" t="s">
        <v>1777</v>
      </c>
      <c r="N91" t="s">
        <v>1778</v>
      </c>
      <c r="O91" s="23"/>
      <c r="P91">
        <v>4</v>
      </c>
      <c r="R91" s="29" t="s">
        <v>1779</v>
      </c>
      <c r="S91" t="s">
        <v>1780</v>
      </c>
    </row>
    <row r="92" spans="1:19">
      <c r="B92" t="s">
        <v>1781</v>
      </c>
      <c r="C92">
        <v>93</v>
      </c>
      <c r="H92" t="s">
        <v>209</v>
      </c>
      <c r="I92" t="s">
        <v>209</v>
      </c>
      <c r="L92" t="s">
        <v>1782</v>
      </c>
      <c r="N92" t="s">
        <v>1783</v>
      </c>
      <c r="O92" s="23"/>
      <c r="P92">
        <v>5</v>
      </c>
      <c r="Q92">
        <v>4</v>
      </c>
      <c r="R92" s="29" t="s">
        <v>1784</v>
      </c>
      <c r="S92" t="s">
        <v>246</v>
      </c>
    </row>
    <row r="93" spans="1:19">
      <c r="B93" t="s">
        <v>1785</v>
      </c>
      <c r="C93">
        <v>10</v>
      </c>
      <c r="H93">
        <v>5</v>
      </c>
      <c r="I93">
        <v>5</v>
      </c>
      <c r="L93" t="s">
        <v>209</v>
      </c>
      <c r="M93" t="s">
        <v>1786</v>
      </c>
      <c r="N93" t="s">
        <v>1787</v>
      </c>
      <c r="O93" s="23"/>
      <c r="P93" t="s">
        <v>1213</v>
      </c>
      <c r="Q93">
        <v>2</v>
      </c>
      <c r="R93" t="s">
        <v>1788</v>
      </c>
      <c r="S93" t="s">
        <v>1102</v>
      </c>
    </row>
    <row r="94" spans="1:19">
      <c r="B94" t="s">
        <v>1789</v>
      </c>
      <c r="C94">
        <v>6</v>
      </c>
      <c r="H94" t="s">
        <v>209</v>
      </c>
      <c r="I94" t="s">
        <v>209</v>
      </c>
      <c r="J94">
        <v>16</v>
      </c>
      <c r="K94">
        <v>22</v>
      </c>
      <c r="L94" t="s">
        <v>209</v>
      </c>
      <c r="M94" t="s">
        <v>1790</v>
      </c>
      <c r="N94" t="s">
        <v>1787</v>
      </c>
      <c r="O94" s="23" t="s">
        <v>1791</v>
      </c>
      <c r="P94" t="s">
        <v>1213</v>
      </c>
      <c r="Q94">
        <v>3</v>
      </c>
      <c r="R94" t="s">
        <v>1788</v>
      </c>
      <c r="S94" t="s">
        <v>247</v>
      </c>
    </row>
    <row r="95" spans="1:19">
      <c r="B95" t="s">
        <v>1792</v>
      </c>
      <c r="C95" t="s">
        <v>209</v>
      </c>
      <c r="H95" t="s">
        <v>209</v>
      </c>
      <c r="I95" t="s">
        <v>209</v>
      </c>
      <c r="M95" t="s">
        <v>1793</v>
      </c>
      <c r="N95" t="s">
        <v>1794</v>
      </c>
      <c r="O95" s="23"/>
      <c r="P95" t="s">
        <v>1213</v>
      </c>
      <c r="Q95">
        <v>1</v>
      </c>
      <c r="R95" t="s">
        <v>1795</v>
      </c>
      <c r="S95" t="s">
        <v>246</v>
      </c>
    </row>
    <row r="96" spans="1:19">
      <c r="C96">
        <f>SUM(C90:C95)</f>
        <v>120</v>
      </c>
      <c r="H96">
        <f>SUM(H90:H95)</f>
        <v>11</v>
      </c>
      <c r="I96">
        <f>SUM(I90:I95)</f>
        <v>10</v>
      </c>
      <c r="N96" s="23"/>
    </row>
    <row r="97" spans="1:18">
      <c r="A97" t="s">
        <v>1796</v>
      </c>
      <c r="N97" s="23"/>
      <c r="Q97" t="s">
        <v>1797</v>
      </c>
    </row>
    <row r="98" spans="1:18">
      <c r="B98" t="s">
        <v>1798</v>
      </c>
      <c r="C98">
        <v>3</v>
      </c>
      <c r="H98">
        <v>2</v>
      </c>
      <c r="I98">
        <v>1</v>
      </c>
      <c r="J98">
        <v>14</v>
      </c>
      <c r="K98">
        <v>39</v>
      </c>
      <c r="M98" t="s">
        <v>1799</v>
      </c>
      <c r="N98" s="23" t="s">
        <v>1800</v>
      </c>
      <c r="O98" t="s">
        <v>1801</v>
      </c>
      <c r="Q98">
        <v>3</v>
      </c>
    </row>
    <row r="99" spans="1:18">
      <c r="B99" t="s">
        <v>1802</v>
      </c>
      <c r="C99">
        <f>SUM(H99:I99)</f>
        <v>1</v>
      </c>
      <c r="H99">
        <v>1</v>
      </c>
      <c r="J99">
        <v>35</v>
      </c>
      <c r="K99">
        <v>35</v>
      </c>
      <c r="M99" t="s">
        <v>1803</v>
      </c>
      <c r="N99" t="s">
        <v>1800</v>
      </c>
      <c r="O99" t="s">
        <v>1804</v>
      </c>
      <c r="Q99">
        <v>1</v>
      </c>
    </row>
    <row r="100" spans="1:18">
      <c r="B100" t="s">
        <v>1805</v>
      </c>
      <c r="C100">
        <f>SUM(H100:I100)</f>
        <v>5</v>
      </c>
      <c r="H100">
        <v>3</v>
      </c>
      <c r="I100">
        <v>2</v>
      </c>
      <c r="J100" t="s">
        <v>209</v>
      </c>
      <c r="K100" t="s">
        <v>209</v>
      </c>
      <c r="M100" t="s">
        <v>1806</v>
      </c>
      <c r="N100" t="s">
        <v>1807</v>
      </c>
      <c r="O100" t="s">
        <v>1808</v>
      </c>
      <c r="Q100">
        <v>4</v>
      </c>
    </row>
    <row r="101" spans="1:18">
      <c r="B101" t="s">
        <v>1772</v>
      </c>
      <c r="C101">
        <f>SUM(H101:I101)</f>
        <v>1</v>
      </c>
      <c r="H101">
        <v>1</v>
      </c>
      <c r="I101">
        <v>0</v>
      </c>
      <c r="J101" t="s">
        <v>209</v>
      </c>
      <c r="K101" t="s">
        <v>209</v>
      </c>
      <c r="M101" t="s">
        <v>1809</v>
      </c>
      <c r="N101" t="s">
        <v>1800</v>
      </c>
      <c r="O101" t="s">
        <v>209</v>
      </c>
      <c r="R101">
        <v>1</v>
      </c>
    </row>
    <row r="102" spans="1:18">
      <c r="B102" t="s">
        <v>1810</v>
      </c>
      <c r="C102">
        <v>13</v>
      </c>
      <c r="H102" t="s">
        <v>209</v>
      </c>
      <c r="I102" t="s">
        <v>209</v>
      </c>
      <c r="J102">
        <v>13</v>
      </c>
      <c r="K102">
        <v>29</v>
      </c>
      <c r="M102" t="s">
        <v>1811</v>
      </c>
      <c r="N102" t="s">
        <v>1812</v>
      </c>
      <c r="O102" t="s">
        <v>1813</v>
      </c>
      <c r="Q102">
        <v>13</v>
      </c>
    </row>
    <row r="103" spans="1:18">
      <c r="B103" t="s">
        <v>1814</v>
      </c>
      <c r="C103">
        <f>SUM(H103:I103)</f>
        <v>1</v>
      </c>
      <c r="I103">
        <v>1</v>
      </c>
      <c r="J103">
        <v>40</v>
      </c>
      <c r="K103">
        <v>40</v>
      </c>
      <c r="M103" t="s">
        <v>1815</v>
      </c>
      <c r="N103" t="s">
        <v>1800</v>
      </c>
      <c r="O103" t="s">
        <v>1813</v>
      </c>
      <c r="Q103">
        <v>1</v>
      </c>
    </row>
    <row r="104" spans="1:18">
      <c r="B104" t="s">
        <v>1816</v>
      </c>
      <c r="C104">
        <v>30</v>
      </c>
      <c r="H104" t="s">
        <v>209</v>
      </c>
      <c r="I104" t="s">
        <v>209</v>
      </c>
      <c r="J104" t="s">
        <v>209</v>
      </c>
      <c r="K104" t="s">
        <v>209</v>
      </c>
      <c r="M104" t="s">
        <v>1817</v>
      </c>
      <c r="N104" t="s">
        <v>1818</v>
      </c>
      <c r="O104" t="s">
        <v>209</v>
      </c>
      <c r="R104">
        <v>30</v>
      </c>
    </row>
    <row r="105" spans="1:18">
      <c r="B105" t="s">
        <v>1819</v>
      </c>
      <c r="C105">
        <f>SUM(H105:I105)</f>
        <v>10</v>
      </c>
      <c r="H105">
        <v>3</v>
      </c>
      <c r="I105">
        <v>7</v>
      </c>
      <c r="J105">
        <v>24</v>
      </c>
      <c r="K105">
        <v>58</v>
      </c>
      <c r="M105" t="s">
        <v>1820</v>
      </c>
      <c r="N105" t="s">
        <v>1818</v>
      </c>
      <c r="O105" t="s">
        <v>1821</v>
      </c>
      <c r="Q105">
        <v>10</v>
      </c>
    </row>
    <row r="106" spans="1:18">
      <c r="B106" s="22" t="s">
        <v>1822</v>
      </c>
      <c r="C106" s="22">
        <v>5</v>
      </c>
      <c r="D106" s="22"/>
      <c r="E106" s="22"/>
      <c r="F106" s="22"/>
      <c r="G106" s="22"/>
      <c r="H106" s="22">
        <v>5</v>
      </c>
      <c r="I106" s="22"/>
      <c r="J106" s="22"/>
      <c r="K106" s="22"/>
      <c r="L106" s="22"/>
      <c r="M106" s="22" t="s">
        <v>1823</v>
      </c>
      <c r="N106" s="31" t="s">
        <v>1824</v>
      </c>
      <c r="O106" s="22" t="s">
        <v>1825</v>
      </c>
      <c r="P106" s="22" t="s">
        <v>1826</v>
      </c>
    </row>
    <row r="107" spans="1:18">
      <c r="B107" s="22" t="s">
        <v>1827</v>
      </c>
      <c r="C107" s="22">
        <f>SUM(H107:I107)</f>
        <v>4</v>
      </c>
      <c r="D107" s="22"/>
      <c r="E107" s="22"/>
      <c r="F107" s="22"/>
      <c r="G107" s="22"/>
      <c r="H107" s="22">
        <v>4</v>
      </c>
      <c r="I107" s="22">
        <v>0</v>
      </c>
      <c r="J107" s="22">
        <v>33</v>
      </c>
      <c r="K107" s="22">
        <v>57</v>
      </c>
      <c r="L107" s="22"/>
      <c r="M107" s="22" t="s">
        <v>1828</v>
      </c>
      <c r="N107" s="22" t="s">
        <v>1829</v>
      </c>
      <c r="O107" s="22" t="s">
        <v>1830</v>
      </c>
      <c r="P107" s="22" t="s">
        <v>1826</v>
      </c>
      <c r="Q107">
        <f>SUM(Q98:Q105)</f>
        <v>32</v>
      </c>
    </row>
    <row r="108" spans="1:18">
      <c r="B108" s="22" t="s">
        <v>1831</v>
      </c>
      <c r="C108" s="22">
        <v>34</v>
      </c>
      <c r="D108" s="22"/>
      <c r="E108" s="22"/>
      <c r="F108" s="22"/>
      <c r="G108" s="22"/>
      <c r="H108" s="22" t="s">
        <v>209</v>
      </c>
      <c r="I108" s="22" t="s">
        <v>209</v>
      </c>
      <c r="J108" s="22">
        <v>21</v>
      </c>
      <c r="K108" s="22">
        <v>55</v>
      </c>
      <c r="L108" s="22"/>
      <c r="M108" s="22" t="s">
        <v>1832</v>
      </c>
      <c r="N108" s="22" t="s">
        <v>1833</v>
      </c>
      <c r="O108" s="22" t="s">
        <v>1813</v>
      </c>
      <c r="P108" s="22" t="s">
        <v>1826</v>
      </c>
    </row>
    <row r="109" spans="1:18">
      <c r="B109" s="22" t="s">
        <v>1834</v>
      </c>
      <c r="C109" s="22">
        <f>SUM(H109:I109)</f>
        <v>12</v>
      </c>
      <c r="D109" s="22"/>
      <c r="E109" s="22"/>
      <c r="F109" s="22"/>
      <c r="G109" s="22"/>
      <c r="H109" s="22">
        <v>12</v>
      </c>
      <c r="I109" s="22">
        <v>0</v>
      </c>
      <c r="J109" s="22"/>
      <c r="K109" s="22"/>
      <c r="L109" s="22"/>
      <c r="M109" s="22" t="s">
        <v>1835</v>
      </c>
      <c r="N109" s="22" t="s">
        <v>1818</v>
      </c>
      <c r="O109" s="22" t="s">
        <v>1836</v>
      </c>
      <c r="P109" s="22" t="s">
        <v>1826</v>
      </c>
    </row>
    <row r="110" spans="1:18">
      <c r="B110" s="22" t="s">
        <v>1837</v>
      </c>
      <c r="C110" s="22">
        <v>25</v>
      </c>
      <c r="D110" s="22"/>
      <c r="E110" s="22"/>
      <c r="F110" s="22"/>
      <c r="G110" s="22"/>
      <c r="H110" s="22"/>
      <c r="I110" s="22"/>
      <c r="J110" s="22">
        <v>18</v>
      </c>
      <c r="K110" s="22">
        <v>65</v>
      </c>
      <c r="L110" s="22"/>
      <c r="M110" s="22" t="s">
        <v>1838</v>
      </c>
      <c r="N110" s="22" t="s">
        <v>1818</v>
      </c>
      <c r="O110" s="22" t="s">
        <v>1804</v>
      </c>
      <c r="P110" s="22" t="s">
        <v>1826</v>
      </c>
    </row>
    <row r="111" spans="1:18">
      <c r="B111" s="22" t="s">
        <v>1839</v>
      </c>
      <c r="C111" s="22">
        <v>30</v>
      </c>
      <c r="D111" s="22"/>
      <c r="E111" s="22"/>
      <c r="F111" s="22"/>
      <c r="G111" s="22"/>
      <c r="H111" s="22"/>
      <c r="I111" s="22"/>
      <c r="J111" s="22"/>
      <c r="K111" s="22"/>
      <c r="L111" s="22"/>
      <c r="M111" s="22" t="s">
        <v>1840</v>
      </c>
      <c r="N111" s="22" t="s">
        <v>1818</v>
      </c>
      <c r="O111" s="22" t="s">
        <v>1841</v>
      </c>
      <c r="P111" s="22" t="s">
        <v>1826</v>
      </c>
    </row>
    <row r="112" spans="1:18">
      <c r="C112">
        <f>SUM(C98:C106)</f>
        <v>69</v>
      </c>
      <c r="H112">
        <f>SUM(H98:H105)</f>
        <v>10</v>
      </c>
      <c r="I112">
        <f>SUM(I98:I106)</f>
        <v>11</v>
      </c>
    </row>
    <row r="113" spans="1:17">
      <c r="A113" t="s">
        <v>466</v>
      </c>
    </row>
    <row r="115" spans="1:17">
      <c r="B115" t="s">
        <v>1842</v>
      </c>
      <c r="C115">
        <v>64</v>
      </c>
      <c r="H115" t="s">
        <v>209</v>
      </c>
      <c r="I115" t="s">
        <v>209</v>
      </c>
      <c r="J115" t="s">
        <v>209</v>
      </c>
      <c r="K115" t="s">
        <v>209</v>
      </c>
      <c r="L115" t="s">
        <v>209</v>
      </c>
      <c r="M115" s="5" t="s">
        <v>1843</v>
      </c>
      <c r="N115" t="s">
        <v>1844</v>
      </c>
    </row>
    <row r="116" spans="1:17">
      <c r="B116" t="s">
        <v>1845</v>
      </c>
      <c r="C116">
        <v>1</v>
      </c>
      <c r="H116" t="s">
        <v>209</v>
      </c>
      <c r="I116" t="s">
        <v>209</v>
      </c>
      <c r="J116" t="s">
        <v>209</v>
      </c>
      <c r="K116" t="s">
        <v>209</v>
      </c>
      <c r="L116" t="s">
        <v>209</v>
      </c>
      <c r="M116" s="5" t="s">
        <v>1846</v>
      </c>
      <c r="N116" t="s">
        <v>1847</v>
      </c>
    </row>
    <row r="117" spans="1:17">
      <c r="B117" t="s">
        <v>1848</v>
      </c>
      <c r="C117">
        <v>12</v>
      </c>
      <c r="H117" t="s">
        <v>209</v>
      </c>
      <c r="I117" t="s">
        <v>209</v>
      </c>
      <c r="J117" t="s">
        <v>209</v>
      </c>
      <c r="K117" t="s">
        <v>209</v>
      </c>
      <c r="L117" t="s">
        <v>209</v>
      </c>
      <c r="M117" s="5" t="s">
        <v>1846</v>
      </c>
      <c r="N117" t="s">
        <v>1849</v>
      </c>
    </row>
    <row r="118" spans="1:17" ht="30">
      <c r="B118" t="s">
        <v>1850</v>
      </c>
      <c r="C118">
        <f>SUM(26+37+33)</f>
        <v>96</v>
      </c>
      <c r="H118" t="s">
        <v>209</v>
      </c>
      <c r="I118" t="s">
        <v>209</v>
      </c>
      <c r="J118" t="s">
        <v>209</v>
      </c>
      <c r="K118" t="s">
        <v>209</v>
      </c>
      <c r="L118" t="s">
        <v>209</v>
      </c>
      <c r="M118" s="1" t="s">
        <v>1851</v>
      </c>
      <c r="N118" t="s">
        <v>1852</v>
      </c>
    </row>
    <row r="119" spans="1:17">
      <c r="B119" t="s">
        <v>1853</v>
      </c>
      <c r="C119">
        <v>2</v>
      </c>
      <c r="H119" t="s">
        <v>209</v>
      </c>
      <c r="I119" t="s">
        <v>209</v>
      </c>
      <c r="J119" t="s">
        <v>209</v>
      </c>
      <c r="K119" t="s">
        <v>209</v>
      </c>
      <c r="L119" t="s">
        <v>209</v>
      </c>
      <c r="M119" s="5" t="s">
        <v>1854</v>
      </c>
      <c r="N119" t="s">
        <v>1849</v>
      </c>
    </row>
    <row r="120" spans="1:17">
      <c r="B120" t="s">
        <v>1855</v>
      </c>
      <c r="C120">
        <v>16</v>
      </c>
      <c r="H120" t="s">
        <v>209</v>
      </c>
      <c r="I120" t="s">
        <v>209</v>
      </c>
      <c r="J120" t="s">
        <v>209</v>
      </c>
      <c r="K120" t="s">
        <v>209</v>
      </c>
      <c r="L120" t="s">
        <v>209</v>
      </c>
      <c r="M120" s="5" t="s">
        <v>1856</v>
      </c>
      <c r="N120" t="s">
        <v>1849</v>
      </c>
    </row>
    <row r="121" spans="1:17">
      <c r="C121">
        <f>SUM(C115:C120)</f>
        <v>191</v>
      </c>
    </row>
    <row r="123" spans="1:17">
      <c r="A123" t="s">
        <v>635</v>
      </c>
      <c r="P123" t="s">
        <v>1857</v>
      </c>
    </row>
    <row r="124" spans="1:17">
      <c r="B124" t="s">
        <v>1858</v>
      </c>
      <c r="C124">
        <v>186</v>
      </c>
      <c r="H124" t="s">
        <v>209</v>
      </c>
      <c r="I124" t="s">
        <v>209</v>
      </c>
      <c r="J124" t="s">
        <v>209</v>
      </c>
      <c r="K124" t="s">
        <v>209</v>
      </c>
      <c r="L124" t="s">
        <v>209</v>
      </c>
      <c r="M124" t="s">
        <v>1859</v>
      </c>
      <c r="N124" t="s">
        <v>1707</v>
      </c>
      <c r="O124" t="s">
        <v>209</v>
      </c>
      <c r="P124" t="s">
        <v>1860</v>
      </c>
      <c r="Q124" t="s">
        <v>1861</v>
      </c>
    </row>
    <row r="125" spans="1:17">
      <c r="B125" t="s">
        <v>1862</v>
      </c>
      <c r="C125">
        <v>4</v>
      </c>
      <c r="H125" t="s">
        <v>209</v>
      </c>
      <c r="I125" t="s">
        <v>209</v>
      </c>
      <c r="J125" t="s">
        <v>209</v>
      </c>
      <c r="K125" t="s">
        <v>209</v>
      </c>
      <c r="L125" t="s">
        <v>209</v>
      </c>
      <c r="M125" t="s">
        <v>1863</v>
      </c>
      <c r="N125" t="s">
        <v>1800</v>
      </c>
      <c r="O125" t="s">
        <v>209</v>
      </c>
      <c r="P125" t="s">
        <v>1864</v>
      </c>
      <c r="Q125" s="33" t="s">
        <v>246</v>
      </c>
    </row>
    <row r="126" spans="1:17">
      <c r="B126" t="s">
        <v>1865</v>
      </c>
      <c r="C126">
        <v>196</v>
      </c>
      <c r="H126" t="s">
        <v>209</v>
      </c>
      <c r="I126" t="s">
        <v>209</v>
      </c>
      <c r="J126" t="s">
        <v>209</v>
      </c>
      <c r="K126" t="s">
        <v>209</v>
      </c>
      <c r="L126" t="s">
        <v>209</v>
      </c>
      <c r="M126" t="s">
        <v>1866</v>
      </c>
      <c r="N126" t="s">
        <v>1867</v>
      </c>
      <c r="O126" t="s">
        <v>209</v>
      </c>
      <c r="P126" t="s">
        <v>1868</v>
      </c>
      <c r="Q126" s="33" t="s">
        <v>1869</v>
      </c>
    </row>
    <row r="127" spans="1:17">
      <c r="B127" t="s">
        <v>1870</v>
      </c>
      <c r="C127" t="s">
        <v>209</v>
      </c>
      <c r="H127" t="s">
        <v>209</v>
      </c>
      <c r="I127" t="s">
        <v>209</v>
      </c>
      <c r="J127" t="s">
        <v>209</v>
      </c>
      <c r="K127" t="s">
        <v>209</v>
      </c>
      <c r="L127" t="s">
        <v>209</v>
      </c>
      <c r="M127" t="s">
        <v>1871</v>
      </c>
      <c r="N127" s="33" t="s">
        <v>1872</v>
      </c>
      <c r="O127" t="s">
        <v>209</v>
      </c>
      <c r="P127" t="s">
        <v>1873</v>
      </c>
      <c r="Q127" t="s">
        <v>1874</v>
      </c>
    </row>
    <row r="128" spans="1:17">
      <c r="B128" t="s">
        <v>1875</v>
      </c>
      <c r="C128" t="s">
        <v>209</v>
      </c>
      <c r="H128" t="s">
        <v>209</v>
      </c>
      <c r="I128" t="s">
        <v>209</v>
      </c>
      <c r="J128" t="s">
        <v>209</v>
      </c>
      <c r="K128" t="s">
        <v>209</v>
      </c>
      <c r="L128" t="s">
        <v>209</v>
      </c>
      <c r="M128" t="s">
        <v>1876</v>
      </c>
      <c r="N128" t="s">
        <v>1877</v>
      </c>
      <c r="O128" t="s">
        <v>209</v>
      </c>
      <c r="P128" t="s">
        <v>1878</v>
      </c>
      <c r="Q128" s="33" t="s">
        <v>1879</v>
      </c>
    </row>
    <row r="129" spans="1:17">
      <c r="B129" t="s">
        <v>1880</v>
      </c>
      <c r="C129" t="s">
        <v>209</v>
      </c>
      <c r="H129" t="s">
        <v>209</v>
      </c>
      <c r="I129" t="s">
        <v>209</v>
      </c>
      <c r="J129" t="s">
        <v>209</v>
      </c>
      <c r="K129" t="s">
        <v>209</v>
      </c>
      <c r="L129" t="s">
        <v>209</v>
      </c>
      <c r="M129" t="s">
        <v>1881</v>
      </c>
      <c r="N129" s="33" t="s">
        <v>1849</v>
      </c>
      <c r="O129" t="s">
        <v>209</v>
      </c>
      <c r="P129" t="s">
        <v>1882</v>
      </c>
      <c r="Q129" t="s">
        <v>247</v>
      </c>
    </row>
    <row r="130" spans="1:17">
      <c r="B130" t="s">
        <v>1883</v>
      </c>
      <c r="C130" t="s">
        <v>209</v>
      </c>
      <c r="H130" t="s">
        <v>209</v>
      </c>
      <c r="I130" t="s">
        <v>209</v>
      </c>
      <c r="J130" t="s">
        <v>209</v>
      </c>
      <c r="K130" t="s">
        <v>209</v>
      </c>
      <c r="L130" t="s">
        <v>209</v>
      </c>
      <c r="M130" t="s">
        <v>1884</v>
      </c>
      <c r="N130" s="33" t="s">
        <v>1849</v>
      </c>
      <c r="O130" t="s">
        <v>209</v>
      </c>
      <c r="P130" t="s">
        <v>1885</v>
      </c>
      <c r="Q130" s="33" t="s">
        <v>1879</v>
      </c>
    </row>
    <row r="131" spans="1:17">
      <c r="B131" t="s">
        <v>1706</v>
      </c>
      <c r="C131">
        <v>31</v>
      </c>
      <c r="H131" t="s">
        <v>209</v>
      </c>
      <c r="I131" t="s">
        <v>209</v>
      </c>
      <c r="J131" t="s">
        <v>209</v>
      </c>
      <c r="K131" t="s">
        <v>209</v>
      </c>
      <c r="L131" t="s">
        <v>209</v>
      </c>
      <c r="M131" t="s">
        <v>1886</v>
      </c>
      <c r="N131" s="33" t="s">
        <v>1887</v>
      </c>
      <c r="O131" t="s">
        <v>209</v>
      </c>
      <c r="P131" t="s">
        <v>1888</v>
      </c>
      <c r="Q131" t="s">
        <v>247</v>
      </c>
    </row>
    <row r="132" spans="1:17">
      <c r="C132">
        <f>SUM(C124:C131)</f>
        <v>417</v>
      </c>
      <c r="P132" t="s">
        <v>1889</v>
      </c>
    </row>
    <row r="136" spans="1:17">
      <c r="A136" t="s">
        <v>801</v>
      </c>
    </row>
    <row r="137" spans="1:17">
      <c r="B137" t="s">
        <v>1890</v>
      </c>
      <c r="C137">
        <v>46</v>
      </c>
      <c r="J137">
        <v>11</v>
      </c>
      <c r="K137">
        <v>46</v>
      </c>
      <c r="M137" t="s">
        <v>1891</v>
      </c>
      <c r="N137" t="s">
        <v>1707</v>
      </c>
    </row>
    <row r="138" spans="1:17">
      <c r="B138" t="s">
        <v>1892</v>
      </c>
      <c r="C138">
        <v>16</v>
      </c>
      <c r="J138">
        <v>18</v>
      </c>
      <c r="K138">
        <v>64</v>
      </c>
      <c r="M138" t="s">
        <v>1893</v>
      </c>
      <c r="N138" t="s">
        <v>1707</v>
      </c>
    </row>
    <row r="139" spans="1:17">
      <c r="B139" t="s">
        <v>1894</v>
      </c>
      <c r="C139">
        <v>4</v>
      </c>
      <c r="J139">
        <v>21</v>
      </c>
      <c r="K139">
        <v>23</v>
      </c>
      <c r="M139" t="s">
        <v>1895</v>
      </c>
      <c r="N139" t="s">
        <v>1896</v>
      </c>
    </row>
    <row r="140" spans="1:17">
      <c r="B140" t="s">
        <v>1897</v>
      </c>
      <c r="C140">
        <v>5</v>
      </c>
      <c r="J140">
        <v>21</v>
      </c>
      <c r="K140">
        <v>23</v>
      </c>
      <c r="M140" t="s">
        <v>1898</v>
      </c>
      <c r="N140" t="s">
        <v>1896</v>
      </c>
    </row>
    <row r="141" spans="1:17">
      <c r="B141" t="s">
        <v>1899</v>
      </c>
      <c r="C141">
        <v>3</v>
      </c>
      <c r="J141">
        <v>18</v>
      </c>
      <c r="K141">
        <v>26</v>
      </c>
      <c r="M141" t="s">
        <v>1900</v>
      </c>
      <c r="N141" t="s">
        <v>1896</v>
      </c>
    </row>
    <row r="142" spans="1:17">
      <c r="B142" t="s">
        <v>1901</v>
      </c>
      <c r="C142">
        <v>5</v>
      </c>
      <c r="J142">
        <v>18</v>
      </c>
      <c r="K142">
        <v>21</v>
      </c>
      <c r="M142" t="s">
        <v>1902</v>
      </c>
      <c r="N142" t="s">
        <v>1896</v>
      </c>
    </row>
    <row r="143" spans="1:17">
      <c r="B143" t="s">
        <v>1903</v>
      </c>
      <c r="C143">
        <v>10</v>
      </c>
      <c r="J143">
        <v>18</v>
      </c>
      <c r="K143">
        <v>20</v>
      </c>
      <c r="M143" t="s">
        <v>1904</v>
      </c>
      <c r="N143" t="s">
        <v>1849</v>
      </c>
    </row>
    <row r="144" spans="1:17">
      <c r="B144" t="s">
        <v>1905</v>
      </c>
      <c r="C144">
        <v>76</v>
      </c>
      <c r="J144">
        <v>17</v>
      </c>
      <c r="K144">
        <v>31</v>
      </c>
      <c r="M144" t="s">
        <v>1906</v>
      </c>
      <c r="N144" t="s">
        <v>1707</v>
      </c>
    </row>
    <row r="145" spans="1:22">
      <c r="B145" t="s">
        <v>1907</v>
      </c>
      <c r="C145">
        <v>58</v>
      </c>
      <c r="J145">
        <v>18</v>
      </c>
      <c r="M145" t="s">
        <v>1908</v>
      </c>
      <c r="N145" t="s">
        <v>1707</v>
      </c>
    </row>
    <row r="146" spans="1:22">
      <c r="B146" t="s">
        <v>1909</v>
      </c>
      <c r="C146">
        <v>7</v>
      </c>
      <c r="J146">
        <v>19</v>
      </c>
      <c r="K146">
        <v>22</v>
      </c>
      <c r="M146" t="s">
        <v>1910</v>
      </c>
      <c r="N146" t="s">
        <v>1896</v>
      </c>
    </row>
    <row r="147" spans="1:22">
      <c r="B147" t="s">
        <v>1911</v>
      </c>
      <c r="C147">
        <v>10</v>
      </c>
      <c r="J147">
        <v>19</v>
      </c>
      <c r="K147">
        <v>48</v>
      </c>
      <c r="M147" t="s">
        <v>1912</v>
      </c>
      <c r="N147" t="s">
        <v>1787</v>
      </c>
    </row>
    <row r="148" spans="1:22">
      <c r="C148">
        <f>SUM(C137:C147)</f>
        <v>240</v>
      </c>
    </row>
    <row r="149" spans="1:22">
      <c r="I149" t="s">
        <v>1913</v>
      </c>
      <c r="J149">
        <f>_xlfn.PERCENTILE.INC(J137:J147, 0.25)</f>
        <v>18</v>
      </c>
      <c r="K149">
        <f>_xlfn.PERCENTILE.INC(K137:K147, 0.25)</f>
        <v>22.25</v>
      </c>
    </row>
    <row r="150" spans="1:22">
      <c r="I150" t="s">
        <v>1914</v>
      </c>
      <c r="J150">
        <f>_xlfn.PERCENTILE.INC(J137:J147, 0.75)</f>
        <v>19</v>
      </c>
      <c r="K150">
        <f>_xlfn.PERCENTILE.INC(K137:K147, 0.75)</f>
        <v>42.25</v>
      </c>
    </row>
    <row r="151" spans="1:22">
      <c r="N151" t="s">
        <v>1707</v>
      </c>
      <c r="O151">
        <v>4</v>
      </c>
    </row>
    <row r="152" spans="1:22">
      <c r="N152" t="s">
        <v>1896</v>
      </c>
      <c r="O152">
        <v>5</v>
      </c>
    </row>
    <row r="153" spans="1:22">
      <c r="N153" t="s">
        <v>1849</v>
      </c>
      <c r="O153">
        <v>1</v>
      </c>
    </row>
    <row r="154" spans="1:22">
      <c r="N154" t="s">
        <v>1787</v>
      </c>
      <c r="O154">
        <v>1</v>
      </c>
    </row>
    <row r="156" spans="1:22">
      <c r="A156" t="s">
        <v>1915</v>
      </c>
      <c r="O156" t="s">
        <v>1916</v>
      </c>
      <c r="P156" t="s">
        <v>1917</v>
      </c>
      <c r="Q156" t="s">
        <v>1918</v>
      </c>
      <c r="R156" t="s">
        <v>1919</v>
      </c>
      <c r="S156" t="s">
        <v>1920</v>
      </c>
      <c r="T156" t="s">
        <v>1921</v>
      </c>
      <c r="U156" t="s">
        <v>1922</v>
      </c>
      <c r="V156" t="s">
        <v>1923</v>
      </c>
    </row>
    <row r="157" spans="1:22">
      <c r="B157" t="s">
        <v>1924</v>
      </c>
      <c r="C157">
        <v>210</v>
      </c>
      <c r="J157" t="s">
        <v>209</v>
      </c>
      <c r="M157" t="s">
        <v>1925</v>
      </c>
      <c r="N157" t="s">
        <v>1926</v>
      </c>
      <c r="Q157" t="s">
        <v>1927</v>
      </c>
      <c r="R157" t="s">
        <v>1928</v>
      </c>
    </row>
    <row r="158" spans="1:22">
      <c r="B158" t="s">
        <v>1929</v>
      </c>
      <c r="C158">
        <v>96</v>
      </c>
      <c r="J158" t="s">
        <v>1213</v>
      </c>
      <c r="M158" t="s">
        <v>1930</v>
      </c>
      <c r="N158" t="s">
        <v>1931</v>
      </c>
      <c r="Q158" t="s">
        <v>1927</v>
      </c>
      <c r="R158" t="s">
        <v>1932</v>
      </c>
    </row>
    <row r="159" spans="1:22">
      <c r="B159" t="s">
        <v>1933</v>
      </c>
      <c r="C159">
        <v>163</v>
      </c>
      <c r="J159" t="s">
        <v>1213</v>
      </c>
      <c r="M159" t="s">
        <v>1934</v>
      </c>
      <c r="N159" t="s">
        <v>1926</v>
      </c>
      <c r="Q159" t="s">
        <v>1935</v>
      </c>
      <c r="R159" t="s">
        <v>1936</v>
      </c>
    </row>
    <row r="160" spans="1:22">
      <c r="B160" t="s">
        <v>1937</v>
      </c>
      <c r="C160">
        <v>30</v>
      </c>
      <c r="J160">
        <v>28</v>
      </c>
      <c r="K160">
        <v>80</v>
      </c>
      <c r="M160" t="s">
        <v>1938</v>
      </c>
      <c r="N160" t="s">
        <v>1939</v>
      </c>
      <c r="Q160" t="s">
        <v>1927</v>
      </c>
      <c r="R160" t="s">
        <v>1940</v>
      </c>
    </row>
    <row r="161" spans="2:22">
      <c r="B161" t="s">
        <v>1941</v>
      </c>
      <c r="C161">
        <v>22</v>
      </c>
      <c r="J161">
        <v>37</v>
      </c>
      <c r="K161">
        <v>75</v>
      </c>
      <c r="M161" t="s">
        <v>1938</v>
      </c>
      <c r="N161" t="s">
        <v>1939</v>
      </c>
      <c r="Q161" t="s">
        <v>1927</v>
      </c>
      <c r="R161" t="s">
        <v>1942</v>
      </c>
    </row>
    <row r="162" spans="2:22">
      <c r="B162" t="s">
        <v>1943</v>
      </c>
      <c r="C162">
        <v>30</v>
      </c>
      <c r="J162">
        <v>18</v>
      </c>
      <c r="K162" t="s">
        <v>209</v>
      </c>
      <c r="M162" t="s">
        <v>1944</v>
      </c>
      <c r="N162" t="s">
        <v>1945</v>
      </c>
      <c r="Q162" t="s">
        <v>1927</v>
      </c>
      <c r="R162" t="s">
        <v>1942</v>
      </c>
    </row>
    <row r="163" spans="2:22">
      <c r="B163" t="s">
        <v>1946</v>
      </c>
      <c r="C163">
        <v>57</v>
      </c>
      <c r="J163" t="s">
        <v>1213</v>
      </c>
      <c r="M163" t="s">
        <v>1947</v>
      </c>
      <c r="N163" t="s">
        <v>1939</v>
      </c>
      <c r="Q163" t="s">
        <v>1948</v>
      </c>
      <c r="R163" t="s">
        <v>1949</v>
      </c>
    </row>
    <row r="164" spans="2:22">
      <c r="B164" t="s">
        <v>1950</v>
      </c>
      <c r="C164">
        <v>77</v>
      </c>
      <c r="J164">
        <v>19</v>
      </c>
      <c r="K164">
        <v>51</v>
      </c>
      <c r="M164" t="s">
        <v>1951</v>
      </c>
      <c r="N164" t="s">
        <v>1926</v>
      </c>
      <c r="Q164" t="s">
        <v>1952</v>
      </c>
      <c r="R164" t="s">
        <v>1949</v>
      </c>
    </row>
    <row r="165" spans="2:22">
      <c r="B165" t="s">
        <v>1953</v>
      </c>
      <c r="C165">
        <v>78</v>
      </c>
      <c r="J165">
        <v>14</v>
      </c>
      <c r="K165">
        <v>41</v>
      </c>
      <c r="M165" t="s">
        <v>1954</v>
      </c>
      <c r="N165" t="s">
        <v>1926</v>
      </c>
      <c r="Q165" t="s">
        <v>1955</v>
      </c>
      <c r="R165" t="s">
        <v>1949</v>
      </c>
    </row>
    <row r="166" spans="2:22">
      <c r="B166" t="s">
        <v>1956</v>
      </c>
      <c r="C166">
        <v>300</v>
      </c>
      <c r="J166" t="s">
        <v>1213</v>
      </c>
      <c r="M166" t="s">
        <v>1957</v>
      </c>
      <c r="N166" t="s">
        <v>1939</v>
      </c>
      <c r="Q166" t="s">
        <v>1958</v>
      </c>
      <c r="R166" t="s">
        <v>1949</v>
      </c>
    </row>
    <row r="167" spans="2:22">
      <c r="B167" t="s">
        <v>1959</v>
      </c>
      <c r="C167">
        <v>30</v>
      </c>
      <c r="J167">
        <v>14</v>
      </c>
      <c r="K167" t="s">
        <v>209</v>
      </c>
      <c r="M167" t="s">
        <v>1960</v>
      </c>
      <c r="N167" t="s">
        <v>1926</v>
      </c>
      <c r="Q167" t="s">
        <v>1961</v>
      </c>
      <c r="R167" t="s">
        <v>1949</v>
      </c>
    </row>
    <row r="168" spans="2:22">
      <c r="B168" t="s">
        <v>1962</v>
      </c>
      <c r="C168">
        <v>83</v>
      </c>
      <c r="J168">
        <v>18</v>
      </c>
      <c r="M168" t="s">
        <v>1963</v>
      </c>
      <c r="N168" t="s">
        <v>1926</v>
      </c>
      <c r="Q168" t="s">
        <v>1964</v>
      </c>
      <c r="R168" t="s">
        <v>1949</v>
      </c>
    </row>
    <row r="169" spans="2:22">
      <c r="B169" t="s">
        <v>1965</v>
      </c>
      <c r="C169">
        <v>103</v>
      </c>
      <c r="M169" t="s">
        <v>1966</v>
      </c>
      <c r="N169" t="s">
        <v>1945</v>
      </c>
      <c r="Q169" t="s">
        <v>1967</v>
      </c>
      <c r="R169" t="s">
        <v>1968</v>
      </c>
    </row>
    <row r="170" spans="2:22">
      <c r="B170" t="s">
        <v>1969</v>
      </c>
      <c r="C170">
        <v>146</v>
      </c>
      <c r="M170" t="s">
        <v>1960</v>
      </c>
      <c r="N170" t="s">
        <v>1970</v>
      </c>
      <c r="Q170" t="s">
        <v>1971</v>
      </c>
      <c r="R170" t="s">
        <v>1972</v>
      </c>
      <c r="S170" t="s">
        <v>1973</v>
      </c>
      <c r="T170" t="s">
        <v>209</v>
      </c>
      <c r="U170" t="s">
        <v>1973</v>
      </c>
      <c r="V170" t="s">
        <v>209</v>
      </c>
    </row>
    <row r="171" spans="2:22">
      <c r="B171" t="s">
        <v>1974</v>
      </c>
      <c r="C171">
        <v>55</v>
      </c>
      <c r="J171">
        <v>21</v>
      </c>
      <c r="K171">
        <v>62</v>
      </c>
      <c r="M171" t="s">
        <v>1975</v>
      </c>
      <c r="N171" t="s">
        <v>1976</v>
      </c>
      <c r="Q171" t="s">
        <v>1977</v>
      </c>
      <c r="R171" t="s">
        <v>1978</v>
      </c>
    </row>
    <row r="172" spans="2:22">
      <c r="B172" t="s">
        <v>1979</v>
      </c>
      <c r="C172">
        <v>138</v>
      </c>
      <c r="M172" t="s">
        <v>1980</v>
      </c>
      <c r="N172" t="s">
        <v>1939</v>
      </c>
      <c r="Q172" t="s">
        <v>1981</v>
      </c>
      <c r="R172" t="s">
        <v>1982</v>
      </c>
    </row>
    <row r="173" spans="2:22">
      <c r="B173" t="s">
        <v>1983</v>
      </c>
      <c r="C173" t="s">
        <v>1984</v>
      </c>
      <c r="M173" t="s">
        <v>1985</v>
      </c>
      <c r="N173" t="s">
        <v>1986</v>
      </c>
      <c r="P173" t="s">
        <v>1987</v>
      </c>
      <c r="Q173" t="s">
        <v>1988</v>
      </c>
      <c r="R173" t="s">
        <v>1989</v>
      </c>
    </row>
    <row r="174" spans="2:22">
      <c r="B174" t="s">
        <v>1990</v>
      </c>
      <c r="C174">
        <v>40</v>
      </c>
      <c r="M174" t="s">
        <v>1991</v>
      </c>
      <c r="N174" t="s">
        <v>1926</v>
      </c>
      <c r="Q174" t="s">
        <v>1992</v>
      </c>
      <c r="R174" t="s">
        <v>1993</v>
      </c>
    </row>
    <row r="175" spans="2:22">
      <c r="B175" t="s">
        <v>1994</v>
      </c>
      <c r="C175">
        <v>22</v>
      </c>
      <c r="J175">
        <v>22</v>
      </c>
      <c r="K175">
        <v>57</v>
      </c>
      <c r="M175" t="s">
        <v>1995</v>
      </c>
      <c r="N175" t="s">
        <v>1986</v>
      </c>
      <c r="Q175" t="s">
        <v>1996</v>
      </c>
      <c r="R175" t="s">
        <v>1997</v>
      </c>
    </row>
    <row r="176" spans="2:22">
      <c r="B176" t="s">
        <v>1998</v>
      </c>
      <c r="C176">
        <v>357</v>
      </c>
      <c r="K176">
        <v>45</v>
      </c>
      <c r="M176" t="s">
        <v>1999</v>
      </c>
      <c r="N176" t="s">
        <v>1926</v>
      </c>
      <c r="Q176" t="s">
        <v>2000</v>
      </c>
      <c r="R176" t="s">
        <v>2001</v>
      </c>
    </row>
    <row r="177" spans="1:18">
      <c r="B177" t="s">
        <v>1983</v>
      </c>
      <c r="C177">
        <v>96</v>
      </c>
      <c r="M177" t="s">
        <v>2002</v>
      </c>
      <c r="N177" t="s">
        <v>1986</v>
      </c>
      <c r="Q177" t="s">
        <v>2003</v>
      </c>
      <c r="R177" t="s">
        <v>2004</v>
      </c>
    </row>
    <row r="178" spans="1:18">
      <c r="B178" t="s">
        <v>2005</v>
      </c>
      <c r="C178">
        <v>21</v>
      </c>
      <c r="J178">
        <v>17</v>
      </c>
      <c r="K178">
        <v>43</v>
      </c>
      <c r="M178" t="s">
        <v>2006</v>
      </c>
      <c r="N178" t="s">
        <v>2007</v>
      </c>
      <c r="Q178" t="s">
        <v>2008</v>
      </c>
      <c r="R178" t="s">
        <v>2009</v>
      </c>
    </row>
    <row r="179" spans="1:18">
      <c r="B179" t="s">
        <v>2010</v>
      </c>
      <c r="C179">
        <v>203</v>
      </c>
      <c r="M179" t="s">
        <v>2011</v>
      </c>
      <c r="N179" t="s">
        <v>2012</v>
      </c>
      <c r="Q179" t="s">
        <v>2013</v>
      </c>
      <c r="R179" t="s">
        <v>2014</v>
      </c>
    </row>
    <row r="180" spans="1:18">
      <c r="C180">
        <f>SUM(C157:C179)</f>
        <v>2357</v>
      </c>
      <c r="I180" t="s">
        <v>1913</v>
      </c>
      <c r="J180">
        <f>_xlfn.PERCENTILE.INC(J157:J178, 0.25)</f>
        <v>17.25</v>
      </c>
      <c r="K180">
        <f>_xlfn.PERCENTILE.INC(K157:K178, 0.25)</f>
        <v>44.5</v>
      </c>
    </row>
    <row r="181" spans="1:18">
      <c r="I181" t="s">
        <v>1914</v>
      </c>
      <c r="J181">
        <f>_xlfn.PERCENTILE.INC(J157:J178, 0.75)</f>
        <v>21.75</v>
      </c>
      <c r="K181">
        <f>_xlfn.PERCENTILE.INC(K157:K178, 0.75)</f>
        <v>65.25</v>
      </c>
    </row>
    <row r="183" spans="1:18">
      <c r="A183" t="s">
        <v>2015</v>
      </c>
      <c r="B183" s="1" t="s">
        <v>2016</v>
      </c>
      <c r="C183">
        <v>8</v>
      </c>
      <c r="M183" t="s">
        <v>2017</v>
      </c>
    </row>
    <row r="184" spans="1:18">
      <c r="B184" s="1" t="s">
        <v>2018</v>
      </c>
      <c r="C184">
        <v>10</v>
      </c>
      <c r="M184" t="s">
        <v>2019</v>
      </c>
    </row>
    <row r="185" spans="1:18">
      <c r="B185" s="1" t="s">
        <v>2020</v>
      </c>
      <c r="C185">
        <v>100</v>
      </c>
      <c r="M185" t="s">
        <v>2021</v>
      </c>
    </row>
    <row r="186" spans="1:18">
      <c r="B186" s="1" t="s">
        <v>2022</v>
      </c>
      <c r="C186">
        <v>30</v>
      </c>
      <c r="M186" t="s">
        <v>2023</v>
      </c>
    </row>
    <row r="187" spans="1:18">
      <c r="B187" s="1" t="s">
        <v>2024</v>
      </c>
      <c r="C187">
        <v>54</v>
      </c>
      <c r="M187" t="s">
        <v>2025</v>
      </c>
    </row>
    <row r="188" spans="1:18">
      <c r="B188" t="s">
        <v>2026</v>
      </c>
      <c r="C188">
        <v>18</v>
      </c>
      <c r="M188" t="s">
        <v>2025</v>
      </c>
    </row>
    <row r="189" spans="1:18">
      <c r="B189" t="s">
        <v>2027</v>
      </c>
      <c r="C189">
        <v>18</v>
      </c>
      <c r="M189" t="s">
        <v>2028</v>
      </c>
    </row>
    <row r="190" spans="1:18">
      <c r="B190" t="s">
        <v>2029</v>
      </c>
      <c r="C190">
        <v>10</v>
      </c>
      <c r="M190" t="s">
        <v>2019</v>
      </c>
    </row>
    <row r="191" spans="1:18">
      <c r="B191" t="s">
        <v>2030</v>
      </c>
      <c r="C191">
        <v>13</v>
      </c>
      <c r="M191" t="s">
        <v>2031</v>
      </c>
    </row>
    <row r="192" spans="1:18">
      <c r="B192" t="s">
        <v>2032</v>
      </c>
      <c r="C192">
        <v>23</v>
      </c>
      <c r="M192" t="s">
        <v>2033</v>
      </c>
    </row>
    <row r="193" spans="2:13">
      <c r="B193" t="s">
        <v>2034</v>
      </c>
      <c r="C193">
        <v>17</v>
      </c>
      <c r="M193" t="s">
        <v>2035</v>
      </c>
    </row>
    <row r="194" spans="2:13">
      <c r="B194" t="s">
        <v>2036</v>
      </c>
      <c r="C194">
        <v>31</v>
      </c>
      <c r="M194" t="s">
        <v>2019</v>
      </c>
    </row>
    <row r="195" spans="2:13">
      <c r="B195" t="s">
        <v>2037</v>
      </c>
      <c r="C195">
        <v>68</v>
      </c>
      <c r="M195" t="s">
        <v>2038</v>
      </c>
    </row>
    <row r="196" spans="2:13">
      <c r="B196" t="s">
        <v>1693</v>
      </c>
      <c r="C196">
        <v>49</v>
      </c>
      <c r="M196" t="s">
        <v>2039</v>
      </c>
    </row>
    <row r="197" spans="2:13">
      <c r="B197" t="s">
        <v>1694</v>
      </c>
      <c r="C197">
        <v>13</v>
      </c>
      <c r="M197" t="s">
        <v>2039</v>
      </c>
    </row>
    <row r="198" spans="2:13">
      <c r="B198" t="s">
        <v>2040</v>
      </c>
      <c r="C198">
        <v>10</v>
      </c>
      <c r="M198" t="s">
        <v>2019</v>
      </c>
    </row>
    <row r="199" spans="2:13">
      <c r="B199" t="s">
        <v>2041</v>
      </c>
      <c r="C199">
        <v>8</v>
      </c>
      <c r="M199" t="s">
        <v>2042</v>
      </c>
    </row>
    <row r="200" spans="2:13">
      <c r="B200" t="s">
        <v>2043</v>
      </c>
      <c r="C200">
        <v>50</v>
      </c>
      <c r="M200" t="s">
        <v>2044</v>
      </c>
    </row>
    <row r="201" spans="2:13">
      <c r="B201" t="s">
        <v>2045</v>
      </c>
      <c r="C201">
        <v>31</v>
      </c>
      <c r="M201" t="s">
        <v>2046</v>
      </c>
    </row>
    <row r="202" spans="2:13">
      <c r="B202" t="s">
        <v>2047</v>
      </c>
      <c r="C202">
        <v>3</v>
      </c>
      <c r="M202" t="s">
        <v>2019</v>
      </c>
    </row>
    <row r="203" spans="2:13">
      <c r="B203" t="s">
        <v>2048</v>
      </c>
      <c r="C203">
        <v>5</v>
      </c>
      <c r="M203" t="s">
        <v>2019</v>
      </c>
    </row>
    <row r="204" spans="2:13">
      <c r="B204" t="s">
        <v>2049</v>
      </c>
      <c r="C204">
        <v>3</v>
      </c>
      <c r="M204" t="s">
        <v>2019</v>
      </c>
    </row>
    <row r="205" spans="2:13">
      <c r="B205" t="s">
        <v>2050</v>
      </c>
      <c r="C205">
        <v>51</v>
      </c>
      <c r="M205" t="s">
        <v>2051</v>
      </c>
    </row>
    <row r="206" spans="2:13">
      <c r="B206" t="s">
        <v>2052</v>
      </c>
      <c r="C206">
        <v>22</v>
      </c>
      <c r="M206" t="s">
        <v>2035</v>
      </c>
    </row>
    <row r="207" spans="2:13">
      <c r="B207" t="s">
        <v>2053</v>
      </c>
      <c r="C207">
        <v>3</v>
      </c>
      <c r="M207" t="s">
        <v>2019</v>
      </c>
    </row>
    <row r="208" spans="2:13">
      <c r="B208" t="s">
        <v>2054</v>
      </c>
      <c r="C208">
        <v>2</v>
      </c>
      <c r="M208" t="s">
        <v>2019</v>
      </c>
    </row>
    <row r="209" spans="2:13">
      <c r="B209" t="s">
        <v>2055</v>
      </c>
      <c r="C209">
        <v>32</v>
      </c>
      <c r="M209" t="s">
        <v>2056</v>
      </c>
    </row>
    <row r="210" spans="2:13">
      <c r="B210" t="s">
        <v>1698</v>
      </c>
      <c r="C210">
        <v>53</v>
      </c>
      <c r="M210" t="s">
        <v>2035</v>
      </c>
    </row>
    <row r="211" spans="2:13">
      <c r="B211" t="s">
        <v>2057</v>
      </c>
      <c r="C211">
        <v>24</v>
      </c>
      <c r="M211" t="s">
        <v>2058</v>
      </c>
    </row>
    <row r="212" spans="2:13">
      <c r="B212" t="s">
        <v>2059</v>
      </c>
      <c r="C212">
        <v>9</v>
      </c>
      <c r="M212" t="s">
        <v>2019</v>
      </c>
    </row>
    <row r="213" spans="2:13">
      <c r="B213" t="s">
        <v>2060</v>
      </c>
      <c r="C213">
        <v>5</v>
      </c>
      <c r="M213" t="s">
        <v>2061</v>
      </c>
    </row>
    <row r="214" spans="2:13">
      <c r="B214" t="s">
        <v>2062</v>
      </c>
      <c r="C214" t="s">
        <v>209</v>
      </c>
      <c r="M214" t="s">
        <v>2063</v>
      </c>
    </row>
    <row r="215" spans="2:13">
      <c r="B215" t="s">
        <v>2064</v>
      </c>
      <c r="C215">
        <v>51</v>
      </c>
      <c r="M215" t="s">
        <v>2019</v>
      </c>
    </row>
    <row r="216" spans="2:13">
      <c r="B216" t="s">
        <v>2065</v>
      </c>
      <c r="C216">
        <v>59</v>
      </c>
      <c r="M216" t="s">
        <v>2066</v>
      </c>
    </row>
    <row r="217" spans="2:13">
      <c r="B217" t="s">
        <v>2067</v>
      </c>
      <c r="C217">
        <v>26</v>
      </c>
      <c r="M217" t="s">
        <v>2068</v>
      </c>
    </row>
    <row r="218" spans="2:13">
      <c r="B218" t="s">
        <v>2069</v>
      </c>
      <c r="C218">
        <v>14</v>
      </c>
      <c r="M218" t="s">
        <v>2070</v>
      </c>
    </row>
    <row r="219" spans="2:13">
      <c r="B219" t="s">
        <v>2071</v>
      </c>
      <c r="C219">
        <v>41</v>
      </c>
      <c r="M219" t="s">
        <v>2072</v>
      </c>
    </row>
    <row r="220" spans="2:13">
      <c r="B220" t="s">
        <v>2073</v>
      </c>
      <c r="C220">
        <v>22</v>
      </c>
      <c r="M220" t="s">
        <v>2074</v>
      </c>
    </row>
    <row r="221" spans="2:13">
      <c r="B221" t="s">
        <v>2075</v>
      </c>
      <c r="C221">
        <v>16</v>
      </c>
      <c r="M221" t="s">
        <v>2019</v>
      </c>
    </row>
    <row r="222" spans="2:13">
      <c r="B222" t="s">
        <v>2076</v>
      </c>
      <c r="C222">
        <v>11</v>
      </c>
      <c r="M222" t="s">
        <v>2077</v>
      </c>
    </row>
    <row r="223" spans="2:13">
      <c r="B223" t="s">
        <v>2078</v>
      </c>
      <c r="C223">
        <v>8</v>
      </c>
      <c r="M223" t="s">
        <v>2079</v>
      </c>
    </row>
    <row r="224" spans="2:13">
      <c r="D224">
        <f>SUM(C183:C223)</f>
        <v>1021</v>
      </c>
    </row>
    <row r="229" spans="1:13">
      <c r="A229" t="s">
        <v>2080</v>
      </c>
      <c r="B229" t="s">
        <v>2081</v>
      </c>
      <c r="C229">
        <v>17</v>
      </c>
      <c r="G229">
        <v>56</v>
      </c>
      <c r="H229" s="16">
        <f>SUM(G229*C229)/100</f>
        <v>9.52</v>
      </c>
      <c r="I229" s="16">
        <f>SUM(C229-H229)</f>
        <v>7.48</v>
      </c>
      <c r="L229">
        <v>19</v>
      </c>
      <c r="M229" t="s">
        <v>2082</v>
      </c>
    </row>
    <row r="230" spans="1:13">
      <c r="B230" t="s">
        <v>1693</v>
      </c>
      <c r="C230">
        <v>13</v>
      </c>
      <c r="G230">
        <v>84.6</v>
      </c>
      <c r="H230" s="16">
        <f t="shared" ref="H230:H235" si="14">SUM(G230*C230)/100</f>
        <v>10.997999999999999</v>
      </c>
      <c r="I230" s="16">
        <f t="shared" ref="I230:I235" si="15">SUM(C230-H230)</f>
        <v>2.0020000000000007</v>
      </c>
      <c r="J230">
        <v>18</v>
      </c>
      <c r="K230">
        <v>23</v>
      </c>
      <c r="L230">
        <v>19</v>
      </c>
      <c r="M230" t="s">
        <v>2039</v>
      </c>
    </row>
    <row r="231" spans="1:13">
      <c r="B231" t="s">
        <v>2083</v>
      </c>
      <c r="C231">
        <v>10</v>
      </c>
      <c r="G231">
        <v>100</v>
      </c>
      <c r="H231" s="16">
        <f t="shared" si="14"/>
        <v>10</v>
      </c>
      <c r="I231" s="16">
        <f t="shared" si="15"/>
        <v>0</v>
      </c>
      <c r="J231">
        <v>19</v>
      </c>
      <c r="K231">
        <v>44</v>
      </c>
      <c r="L231">
        <v>28.4</v>
      </c>
      <c r="M231" t="s">
        <v>2084</v>
      </c>
    </row>
    <row r="232" spans="1:13">
      <c r="B232" t="s">
        <v>2085</v>
      </c>
      <c r="C232">
        <v>35</v>
      </c>
      <c r="G232">
        <v>68.599999999999994</v>
      </c>
      <c r="H232" s="16">
        <f t="shared" si="14"/>
        <v>24.01</v>
      </c>
      <c r="I232" s="16">
        <f t="shared" si="15"/>
        <v>10.989999999999998</v>
      </c>
      <c r="J232">
        <v>24</v>
      </c>
      <c r="K232">
        <v>77</v>
      </c>
      <c r="L232">
        <v>68.599999999999994</v>
      </c>
      <c r="M232" t="s">
        <v>2086</v>
      </c>
    </row>
    <row r="233" spans="1:13">
      <c r="B233" t="s">
        <v>2087</v>
      </c>
      <c r="H233" s="16"/>
      <c r="I233" s="16"/>
      <c r="M233" t="s">
        <v>2086</v>
      </c>
    </row>
    <row r="234" spans="1:13">
      <c r="B234" t="s">
        <v>2088</v>
      </c>
      <c r="C234">
        <v>18</v>
      </c>
      <c r="G234">
        <v>94.4</v>
      </c>
      <c r="H234" s="16">
        <f t="shared" si="14"/>
        <v>16.992000000000001</v>
      </c>
      <c r="I234" s="16">
        <f t="shared" si="15"/>
        <v>1.0079999999999991</v>
      </c>
      <c r="J234">
        <v>22</v>
      </c>
      <c r="K234">
        <v>49</v>
      </c>
      <c r="L234">
        <v>34</v>
      </c>
      <c r="M234" t="s">
        <v>2089</v>
      </c>
    </row>
    <row r="235" spans="1:13">
      <c r="B235" t="s">
        <v>2090</v>
      </c>
      <c r="C235">
        <v>71</v>
      </c>
      <c r="G235">
        <v>58</v>
      </c>
      <c r="H235" s="16">
        <f t="shared" si="14"/>
        <v>41.18</v>
      </c>
      <c r="I235" s="16">
        <f t="shared" si="15"/>
        <v>29.82</v>
      </c>
      <c r="J235">
        <v>17</v>
      </c>
      <c r="K235">
        <v>39</v>
      </c>
      <c r="L235">
        <v>31.49</v>
      </c>
      <c r="M235" t="s">
        <v>2091</v>
      </c>
    </row>
    <row r="236" spans="1:13">
      <c r="C236">
        <f>SUM(C229:C235)</f>
        <v>164</v>
      </c>
      <c r="H236" s="16">
        <f t="shared" ref="H236:I236" si="16">SUM(H229:H235)</f>
        <v>112.70000000000002</v>
      </c>
      <c r="I236" s="16">
        <f t="shared" si="16"/>
        <v>51.3</v>
      </c>
    </row>
    <row r="239" spans="1:13">
      <c r="I239" t="s">
        <v>1913</v>
      </c>
      <c r="J239">
        <f>_xlfn.PERCENTILE.INC(J227:J237, 0.25)</f>
        <v>18</v>
      </c>
      <c r="K239">
        <f>_xlfn.PERCENTILE.INC(K227:K237, 0.25)</f>
        <v>39</v>
      </c>
    </row>
    <row r="240" spans="1:13">
      <c r="I240" t="s">
        <v>1914</v>
      </c>
      <c r="J240">
        <f>_xlfn.PERCENTILE.INC(J227:J237, 0.75)</f>
        <v>22</v>
      </c>
      <c r="K240">
        <f>_xlfn.PERCENTILE.INC(K227:K237, 0.75)</f>
        <v>49</v>
      </c>
    </row>
    <row r="242" spans="1:15">
      <c r="A242" t="s">
        <v>1226</v>
      </c>
      <c r="B242" t="s">
        <v>2092</v>
      </c>
      <c r="C242">
        <v>31</v>
      </c>
      <c r="H242">
        <v>23</v>
      </c>
      <c r="I242">
        <v>8</v>
      </c>
      <c r="J242">
        <v>16</v>
      </c>
      <c r="K242">
        <v>47</v>
      </c>
      <c r="L242">
        <v>22</v>
      </c>
      <c r="M242" t="s">
        <v>2093</v>
      </c>
      <c r="N242" t="s">
        <v>2094</v>
      </c>
      <c r="O242" t="s">
        <v>2095</v>
      </c>
    </row>
    <row r="243" spans="1:15">
      <c r="B243" t="s">
        <v>2096</v>
      </c>
      <c r="C243">
        <v>55</v>
      </c>
      <c r="H243">
        <v>32</v>
      </c>
      <c r="I243">
        <v>23</v>
      </c>
      <c r="J243">
        <v>18</v>
      </c>
      <c r="K243">
        <v>55</v>
      </c>
      <c r="L243">
        <v>32.700000000000003</v>
      </c>
      <c r="M243" t="s">
        <v>2097</v>
      </c>
      <c r="N243" t="s">
        <v>2098</v>
      </c>
      <c r="O243" t="s">
        <v>2095</v>
      </c>
    </row>
    <row r="244" spans="1:15">
      <c r="B244" t="s">
        <v>2099</v>
      </c>
      <c r="C244">
        <v>78</v>
      </c>
      <c r="H244">
        <v>63</v>
      </c>
      <c r="I244">
        <v>12</v>
      </c>
      <c r="J244">
        <v>14</v>
      </c>
      <c r="K244">
        <v>53</v>
      </c>
      <c r="L244">
        <v>22.5</v>
      </c>
      <c r="M244" t="s">
        <v>2100</v>
      </c>
      <c r="N244" t="s">
        <v>2094</v>
      </c>
      <c r="O244" t="s">
        <v>2101</v>
      </c>
    </row>
    <row r="245" spans="1:15">
      <c r="B245" t="s">
        <v>2102</v>
      </c>
      <c r="C245">
        <v>57</v>
      </c>
      <c r="H245">
        <v>44</v>
      </c>
      <c r="I245">
        <v>12</v>
      </c>
      <c r="J245">
        <v>14</v>
      </c>
      <c r="K245">
        <v>52</v>
      </c>
      <c r="L245">
        <v>22.5</v>
      </c>
      <c r="M245" t="s">
        <v>2103</v>
      </c>
      <c r="N245" t="s">
        <v>2104</v>
      </c>
      <c r="O245" t="s">
        <v>2101</v>
      </c>
    </row>
    <row r="246" spans="1:15">
      <c r="C246">
        <f>SUM(C242:C245)</f>
        <v>221</v>
      </c>
      <c r="H246">
        <f>SUM(H242:H245)</f>
        <v>162</v>
      </c>
      <c r="I246">
        <f>SUM(I242:I245)</f>
        <v>55</v>
      </c>
    </row>
    <row r="249" spans="1:15">
      <c r="I249" t="s">
        <v>1913</v>
      </c>
      <c r="J249">
        <f>_xlfn.PERCENTILE.INC(J242:J245, 0.25)</f>
        <v>14</v>
      </c>
      <c r="K249">
        <f>_xlfn.PERCENTILE.INC(K242:K245, 0.25)</f>
        <v>50.75</v>
      </c>
      <c r="L249">
        <f>_xlfn.PERCENTILE.INC(L242:L245, 0.25)</f>
        <v>22.375</v>
      </c>
    </row>
    <row r="250" spans="1:15">
      <c r="I250" t="s">
        <v>1914</v>
      </c>
      <c r="J250">
        <f>_xlfn.PERCENTILE.INC(J242:J245, 0.75)</f>
        <v>16.5</v>
      </c>
      <c r="K250">
        <f>_xlfn.PERCENTILE.INC(K242:K245, 0.75)</f>
        <v>53.5</v>
      </c>
      <c r="L250">
        <f>_xlfn.PERCENTILE.INC(L242:L245, 0.75)</f>
        <v>25.05</v>
      </c>
    </row>
    <row r="252" spans="1:15">
      <c r="C252" t="s">
        <v>2105</v>
      </c>
      <c r="F252" t="s">
        <v>2106</v>
      </c>
    </row>
    <row r="253" spans="1:15">
      <c r="A253" t="s">
        <v>2107</v>
      </c>
      <c r="B253" s="1" t="s">
        <v>2108</v>
      </c>
      <c r="F253">
        <v>16</v>
      </c>
    </row>
    <row r="254" spans="1:15">
      <c r="B254" t="s">
        <v>2109</v>
      </c>
      <c r="F254">
        <v>30</v>
      </c>
    </row>
    <row r="255" spans="1:15">
      <c r="B255" t="s">
        <v>2110</v>
      </c>
      <c r="D255">
        <v>6</v>
      </c>
      <c r="F255">
        <v>6</v>
      </c>
    </row>
    <row r="256" spans="1:15">
      <c r="B256" t="s">
        <v>2111</v>
      </c>
      <c r="D256">
        <v>34</v>
      </c>
      <c r="F256">
        <v>59</v>
      </c>
    </row>
    <row r="257" spans="2:6">
      <c r="B257" t="s">
        <v>2112</v>
      </c>
      <c r="D257">
        <v>8</v>
      </c>
      <c r="F257">
        <v>13</v>
      </c>
    </row>
    <row r="258" spans="2:6">
      <c r="B258" t="s">
        <v>2113</v>
      </c>
      <c r="C258">
        <v>21</v>
      </c>
    </row>
    <row r="259" spans="2:6">
      <c r="B259" t="s">
        <v>2114</v>
      </c>
      <c r="D259">
        <v>3</v>
      </c>
    </row>
    <row r="260" spans="2:6">
      <c r="B260" t="s">
        <v>2115</v>
      </c>
      <c r="D260">
        <v>8</v>
      </c>
      <c r="F260">
        <v>2</v>
      </c>
    </row>
    <row r="261" spans="2:6">
      <c r="B261" t="s">
        <v>2116</v>
      </c>
      <c r="F261">
        <v>2</v>
      </c>
    </row>
    <row r="262" spans="2:6">
      <c r="B262" t="s">
        <v>2117</v>
      </c>
      <c r="F262">
        <v>15</v>
      </c>
    </row>
    <row r="263" spans="2:6">
      <c r="B263" t="s">
        <v>2118</v>
      </c>
      <c r="D263">
        <v>16</v>
      </c>
      <c r="F263">
        <v>14</v>
      </c>
    </row>
    <row r="264" spans="2:6">
      <c r="B264" t="s">
        <v>2119</v>
      </c>
      <c r="F264">
        <v>15</v>
      </c>
    </row>
    <row r="265" spans="2:6">
      <c r="B265" t="s">
        <v>2120</v>
      </c>
      <c r="F265">
        <v>16</v>
      </c>
    </row>
    <row r="266" spans="2:6">
      <c r="B266" t="s">
        <v>2121</v>
      </c>
      <c r="F266">
        <v>10</v>
      </c>
    </row>
    <row r="267" spans="2:6">
      <c r="B267" t="s">
        <v>2122</v>
      </c>
      <c r="D267">
        <v>6</v>
      </c>
      <c r="F267">
        <v>6</v>
      </c>
    </row>
    <row r="268" spans="2:6">
      <c r="B268" t="s">
        <v>2123</v>
      </c>
      <c r="F268">
        <v>16</v>
      </c>
    </row>
    <row r="269" spans="2:6">
      <c r="B269" t="s">
        <v>2124</v>
      </c>
      <c r="D269">
        <v>4</v>
      </c>
      <c r="F269">
        <v>4</v>
      </c>
    </row>
    <row r="270" spans="2:6">
      <c r="B270" t="s">
        <v>2125</v>
      </c>
      <c r="F270">
        <v>3</v>
      </c>
    </row>
    <row r="271" spans="2:6">
      <c r="B271" t="s">
        <v>2126</v>
      </c>
      <c r="F271">
        <v>5</v>
      </c>
    </row>
    <row r="272" spans="2:6">
      <c r="B272" t="s">
        <v>2127</v>
      </c>
      <c r="C272">
        <v>14</v>
      </c>
      <c r="D272">
        <v>16</v>
      </c>
    </row>
    <row r="273" spans="1:11">
      <c r="B273" t="s">
        <v>2128</v>
      </c>
      <c r="F273">
        <v>12</v>
      </c>
    </row>
    <row r="274" spans="1:11">
      <c r="B274" t="s">
        <v>2129</v>
      </c>
      <c r="C274">
        <v>19</v>
      </c>
      <c r="D274">
        <v>19</v>
      </c>
    </row>
    <row r="275" spans="1:11">
      <c r="B275" t="s">
        <v>2130</v>
      </c>
      <c r="C275">
        <v>34</v>
      </c>
      <c r="D275">
        <v>18</v>
      </c>
    </row>
    <row r="276" spans="1:11">
      <c r="B276" t="s">
        <v>2131</v>
      </c>
      <c r="C276">
        <v>34</v>
      </c>
      <c r="F276">
        <v>3</v>
      </c>
    </row>
    <row r="277" spans="1:11">
      <c r="B277" t="s">
        <v>2132</v>
      </c>
      <c r="F277">
        <v>11</v>
      </c>
    </row>
    <row r="278" spans="1:11">
      <c r="C278">
        <f>SUM(C253:C277)</f>
        <v>122</v>
      </c>
      <c r="D278">
        <f t="shared" ref="D278:F278" si="17">SUM(D253:D277)</f>
        <v>138</v>
      </c>
      <c r="E278">
        <f t="shared" si="17"/>
        <v>0</v>
      </c>
      <c r="F278">
        <f t="shared" si="17"/>
        <v>258</v>
      </c>
    </row>
    <row r="279" spans="1:11">
      <c r="C279">
        <f>SUM(C278+F278)</f>
        <v>380</v>
      </c>
    </row>
    <row r="280" spans="1:11">
      <c r="C280" t="s">
        <v>2105</v>
      </c>
      <c r="F280" t="s">
        <v>2106</v>
      </c>
    </row>
    <row r="281" spans="1:11">
      <c r="A281" t="s">
        <v>2133</v>
      </c>
      <c r="B281" t="s">
        <v>2134</v>
      </c>
      <c r="C281">
        <v>23</v>
      </c>
      <c r="F281">
        <v>23</v>
      </c>
      <c r="J281">
        <v>18</v>
      </c>
      <c r="K281">
        <v>27</v>
      </c>
    </row>
    <row r="282" spans="1:11">
      <c r="B282" t="s">
        <v>2135</v>
      </c>
      <c r="C282">
        <v>11</v>
      </c>
      <c r="F282">
        <v>7</v>
      </c>
      <c r="J282">
        <v>17</v>
      </c>
      <c r="K282">
        <v>30</v>
      </c>
    </row>
    <row r="283" spans="1:11">
      <c r="B283" t="s">
        <v>2136</v>
      </c>
      <c r="C283">
        <v>9</v>
      </c>
      <c r="F283">
        <v>9</v>
      </c>
      <c r="J283">
        <v>19</v>
      </c>
      <c r="K283">
        <v>33</v>
      </c>
    </row>
    <row r="284" spans="1:11">
      <c r="B284" t="s">
        <v>2137</v>
      </c>
      <c r="C284">
        <v>30</v>
      </c>
      <c r="F284">
        <v>0</v>
      </c>
      <c r="J284">
        <v>20</v>
      </c>
      <c r="K284">
        <v>24</v>
      </c>
    </row>
    <row r="285" spans="1:11">
      <c r="B285" t="s">
        <v>2138</v>
      </c>
      <c r="F285">
        <v>7</v>
      </c>
      <c r="J285">
        <v>21</v>
      </c>
      <c r="K285">
        <v>30</v>
      </c>
    </row>
    <row r="286" spans="1:11">
      <c r="B286" t="s">
        <v>2139</v>
      </c>
      <c r="C286">
        <v>24</v>
      </c>
      <c r="F286">
        <v>2</v>
      </c>
      <c r="J286">
        <v>17</v>
      </c>
      <c r="K286">
        <v>28</v>
      </c>
    </row>
    <row r="287" spans="1:11">
      <c r="B287" t="s">
        <v>2140</v>
      </c>
      <c r="C287">
        <v>12</v>
      </c>
      <c r="F287">
        <v>12</v>
      </c>
    </row>
    <row r="288" spans="1:11">
      <c r="B288" t="s">
        <v>2141</v>
      </c>
      <c r="C288">
        <v>3</v>
      </c>
      <c r="F288">
        <v>3</v>
      </c>
      <c r="J288">
        <v>19</v>
      </c>
      <c r="K288">
        <v>25</v>
      </c>
    </row>
    <row r="289" spans="1:16">
      <c r="B289" t="s">
        <v>2142</v>
      </c>
      <c r="C289">
        <v>9</v>
      </c>
      <c r="F289">
        <v>9</v>
      </c>
      <c r="J289">
        <v>19</v>
      </c>
      <c r="K289">
        <v>33</v>
      </c>
    </row>
    <row r="290" spans="1:16">
      <c r="B290" t="s">
        <v>2143</v>
      </c>
      <c r="C290">
        <v>10</v>
      </c>
      <c r="F290">
        <v>10</v>
      </c>
      <c r="J290">
        <v>17</v>
      </c>
      <c r="K290">
        <v>20</v>
      </c>
    </row>
    <row r="291" spans="1:16">
      <c r="C291">
        <f>SUM(C281:C290)</f>
        <v>131</v>
      </c>
      <c r="F291">
        <f>SUM(F281:F290)</f>
        <v>82</v>
      </c>
    </row>
    <row r="292" spans="1:16">
      <c r="C292">
        <f>SUM(C291+F291)</f>
        <v>213</v>
      </c>
      <c r="I292" t="s">
        <v>1913</v>
      </c>
      <c r="J292">
        <f>_xlfn.PERCENTILE.INC(J281:J290, 0.25)</f>
        <v>17</v>
      </c>
      <c r="K292">
        <f>_xlfn.PERCENTILE.INC(K281:K290, 0.25)</f>
        <v>25</v>
      </c>
    </row>
    <row r="293" spans="1:16">
      <c r="I293" t="s">
        <v>1914</v>
      </c>
      <c r="J293">
        <f>_xlfn.PERCENTILE.INC(J280:J290, 0.75)</f>
        <v>19</v>
      </c>
      <c r="K293">
        <f>_xlfn.PERCENTILE.INC(K280:K290, 0.75)</f>
        <v>30</v>
      </c>
    </row>
    <row r="295" spans="1:16">
      <c r="A295" t="s">
        <v>2144</v>
      </c>
      <c r="B295" t="s">
        <v>2145</v>
      </c>
      <c r="C295">
        <v>90</v>
      </c>
      <c r="O295" t="s">
        <v>2146</v>
      </c>
    </row>
    <row r="296" spans="1:16">
      <c r="B296" t="s">
        <v>2147</v>
      </c>
      <c r="C296">
        <v>30</v>
      </c>
      <c r="O296" t="s">
        <v>562</v>
      </c>
    </row>
    <row r="297" spans="1:16">
      <c r="B297" t="s">
        <v>2148</v>
      </c>
      <c r="C297">
        <v>29</v>
      </c>
      <c r="O297" t="s">
        <v>700</v>
      </c>
    </row>
    <row r="298" spans="1:16">
      <c r="B298" t="s">
        <v>2149</v>
      </c>
      <c r="C298">
        <v>21</v>
      </c>
      <c r="O298" t="s">
        <v>562</v>
      </c>
    </row>
    <row r="299" spans="1:16">
      <c r="C299">
        <f>SUM(C295:C298)</f>
        <v>170</v>
      </c>
    </row>
    <row r="300" spans="1:16">
      <c r="A300" t="s">
        <v>2150</v>
      </c>
    </row>
    <row r="301" spans="1:16">
      <c r="A301" s="53" t="s">
        <v>2151</v>
      </c>
      <c r="B301" t="s">
        <v>2151</v>
      </c>
      <c r="C301">
        <v>3</v>
      </c>
      <c r="G301" s="15">
        <f>SUM(H301/(H301+I301))*100</f>
        <v>33.333333333333329</v>
      </c>
      <c r="H301">
        <v>1</v>
      </c>
      <c r="I301">
        <v>2</v>
      </c>
      <c r="L301">
        <v>19</v>
      </c>
      <c r="M301" t="s">
        <v>2152</v>
      </c>
      <c r="N301" s="33" t="s">
        <v>2153</v>
      </c>
      <c r="O301" t="s">
        <v>2154</v>
      </c>
      <c r="P301" t="s">
        <v>247</v>
      </c>
    </row>
    <row r="302" spans="1:16">
      <c r="A302" s="53" t="s">
        <v>2155</v>
      </c>
      <c r="B302" t="s">
        <v>2155</v>
      </c>
      <c r="C302">
        <v>10</v>
      </c>
      <c r="G302" s="15">
        <f>SUM(H302/(H302+I302))*100</f>
        <v>40</v>
      </c>
      <c r="H302">
        <v>4</v>
      </c>
      <c r="I302">
        <v>6</v>
      </c>
      <c r="L302">
        <v>22</v>
      </c>
      <c r="M302" t="s">
        <v>2156</v>
      </c>
      <c r="N302" t="s">
        <v>2157</v>
      </c>
      <c r="O302" t="s">
        <v>2158</v>
      </c>
      <c r="P302" t="s">
        <v>246</v>
      </c>
    </row>
    <row r="303" spans="1:16">
      <c r="A303" s="54" t="s">
        <v>2159</v>
      </c>
      <c r="B303" s="53" t="s">
        <v>2160</v>
      </c>
    </row>
    <row r="304" spans="1:16">
      <c r="A304" s="54" t="s">
        <v>2161</v>
      </c>
      <c r="B304" s="54" t="s">
        <v>2161</v>
      </c>
      <c r="C304">
        <v>18</v>
      </c>
      <c r="F304">
        <v>18</v>
      </c>
      <c r="G304" t="s">
        <v>209</v>
      </c>
      <c r="H304" t="s">
        <v>209</v>
      </c>
      <c r="I304" t="s">
        <v>209</v>
      </c>
      <c r="L304">
        <v>29.3</v>
      </c>
      <c r="M304" t="s">
        <v>2156</v>
      </c>
      <c r="N304" t="s">
        <v>2162</v>
      </c>
      <c r="O304" t="s">
        <v>2163</v>
      </c>
      <c r="P304" t="s">
        <v>2164</v>
      </c>
    </row>
    <row r="305" spans="1:16">
      <c r="A305" s="53" t="s">
        <v>2165</v>
      </c>
      <c r="B305" t="s">
        <v>2165</v>
      </c>
      <c r="C305">
        <v>50</v>
      </c>
      <c r="G305" t="s">
        <v>209</v>
      </c>
      <c r="H305" t="s">
        <v>209</v>
      </c>
      <c r="I305" t="s">
        <v>209</v>
      </c>
      <c r="L305">
        <v>19</v>
      </c>
      <c r="M305" t="s">
        <v>2166</v>
      </c>
      <c r="N305" t="s">
        <v>2167</v>
      </c>
      <c r="O305" t="s">
        <v>2168</v>
      </c>
      <c r="P305" t="s">
        <v>246</v>
      </c>
    </row>
    <row r="306" spans="1:16">
      <c r="A306" s="53" t="s">
        <v>2169</v>
      </c>
      <c r="B306" t="s">
        <v>2169</v>
      </c>
      <c r="C306">
        <v>4</v>
      </c>
      <c r="G306" s="15">
        <f t="shared" ref="G306:G315" si="18">SUM(H306/(H306+I306))*100</f>
        <v>50</v>
      </c>
      <c r="H306">
        <v>2</v>
      </c>
      <c r="I306">
        <v>2</v>
      </c>
      <c r="L306">
        <v>22</v>
      </c>
      <c r="M306" t="s">
        <v>2170</v>
      </c>
      <c r="N306" s="33" t="s">
        <v>2153</v>
      </c>
      <c r="O306" t="s">
        <v>2171</v>
      </c>
      <c r="P306" t="s">
        <v>247</v>
      </c>
    </row>
    <row r="307" spans="1:16">
      <c r="A307" s="53" t="s">
        <v>2172</v>
      </c>
      <c r="B307" t="s">
        <v>2172</v>
      </c>
      <c r="C307">
        <v>6</v>
      </c>
      <c r="G307" s="15">
        <f t="shared" si="18"/>
        <v>66.666666666666657</v>
      </c>
      <c r="H307">
        <v>4</v>
      </c>
      <c r="I307">
        <v>2</v>
      </c>
      <c r="L307">
        <v>21</v>
      </c>
      <c r="M307" t="s">
        <v>2173</v>
      </c>
      <c r="N307" s="33" t="s">
        <v>2153</v>
      </c>
      <c r="O307" t="s">
        <v>2174</v>
      </c>
      <c r="P307" t="s">
        <v>247</v>
      </c>
    </row>
    <row r="308" spans="1:16">
      <c r="A308" s="53" t="s">
        <v>2175</v>
      </c>
      <c r="B308" t="s">
        <v>2175</v>
      </c>
      <c r="C308">
        <v>3</v>
      </c>
      <c r="G308" s="15">
        <f t="shared" si="18"/>
        <v>66.666666666666657</v>
      </c>
      <c r="H308">
        <v>2</v>
      </c>
      <c r="I308">
        <v>1</v>
      </c>
      <c r="L308">
        <v>23</v>
      </c>
      <c r="M308" t="s">
        <v>2176</v>
      </c>
      <c r="N308" s="33" t="s">
        <v>2153</v>
      </c>
      <c r="O308" t="s">
        <v>2174</v>
      </c>
      <c r="P308" t="s">
        <v>247</v>
      </c>
    </row>
    <row r="309" spans="1:16">
      <c r="A309" s="53" t="s">
        <v>2177</v>
      </c>
      <c r="B309" t="s">
        <v>2177</v>
      </c>
      <c r="C309">
        <v>18</v>
      </c>
      <c r="G309" s="15">
        <f t="shared" si="18"/>
        <v>61.111111111111114</v>
      </c>
      <c r="H309">
        <v>11</v>
      </c>
      <c r="I309">
        <v>7</v>
      </c>
      <c r="L309">
        <v>24</v>
      </c>
      <c r="M309" t="s">
        <v>2178</v>
      </c>
      <c r="N309" t="s">
        <v>1707</v>
      </c>
      <c r="O309" t="s">
        <v>2179</v>
      </c>
      <c r="P309" t="s">
        <v>1210</v>
      </c>
    </row>
    <row r="310" spans="1:16">
      <c r="A310" s="53" t="s">
        <v>2180</v>
      </c>
      <c r="B310" t="s">
        <v>2180</v>
      </c>
      <c r="C310">
        <v>1</v>
      </c>
      <c r="G310" s="15">
        <f t="shared" si="18"/>
        <v>100</v>
      </c>
      <c r="H310">
        <v>1</v>
      </c>
      <c r="I310">
        <v>0</v>
      </c>
      <c r="L310">
        <v>19</v>
      </c>
      <c r="M310" t="s">
        <v>2181</v>
      </c>
      <c r="N310" s="33" t="s">
        <v>2153</v>
      </c>
      <c r="O310" t="s">
        <v>2182</v>
      </c>
      <c r="P310" t="s">
        <v>247</v>
      </c>
    </row>
    <row r="311" spans="1:16">
      <c r="A311" s="53" t="s">
        <v>2183</v>
      </c>
      <c r="B311" t="s">
        <v>2183</v>
      </c>
      <c r="C311">
        <v>23</v>
      </c>
      <c r="G311" s="15">
        <f t="shared" si="18"/>
        <v>39.130434782608695</v>
      </c>
      <c r="H311">
        <v>9</v>
      </c>
      <c r="I311">
        <v>14</v>
      </c>
      <c r="L311">
        <v>32</v>
      </c>
      <c r="M311" t="s">
        <v>2184</v>
      </c>
      <c r="N311" t="s">
        <v>2104</v>
      </c>
      <c r="O311" t="s">
        <v>2174</v>
      </c>
      <c r="P311" t="s">
        <v>247</v>
      </c>
    </row>
    <row r="312" spans="1:16">
      <c r="A312" s="53" t="s">
        <v>2185</v>
      </c>
      <c r="B312" t="s">
        <v>2185</v>
      </c>
      <c r="C312">
        <v>3</v>
      </c>
      <c r="G312" s="15">
        <f t="shared" si="18"/>
        <v>0</v>
      </c>
      <c r="H312">
        <v>0</v>
      </c>
      <c r="I312">
        <v>3</v>
      </c>
      <c r="L312">
        <v>21</v>
      </c>
      <c r="M312" s="35" t="s">
        <v>2186</v>
      </c>
      <c r="N312" s="33" t="s">
        <v>2153</v>
      </c>
      <c r="O312" t="s">
        <v>2187</v>
      </c>
      <c r="P312" t="s">
        <v>247</v>
      </c>
    </row>
    <row r="313" spans="1:16">
      <c r="A313" s="53" t="s">
        <v>2188</v>
      </c>
      <c r="B313" t="s">
        <v>2188</v>
      </c>
      <c r="C313">
        <v>4</v>
      </c>
      <c r="G313" s="15">
        <f t="shared" si="18"/>
        <v>50</v>
      </c>
      <c r="H313">
        <v>2</v>
      </c>
      <c r="I313">
        <v>2</v>
      </c>
      <c r="L313">
        <v>22</v>
      </c>
      <c r="M313" t="s">
        <v>2189</v>
      </c>
      <c r="N313" s="33" t="s">
        <v>2153</v>
      </c>
      <c r="O313" t="s">
        <v>2190</v>
      </c>
      <c r="P313" t="s">
        <v>247</v>
      </c>
    </row>
    <row r="314" spans="1:16">
      <c r="C314">
        <f>SUM(C301:C313)</f>
        <v>143</v>
      </c>
    </row>
    <row r="315" spans="1:16">
      <c r="G315" s="15">
        <f t="shared" si="18"/>
        <v>48</v>
      </c>
      <c r="H315">
        <f>SUM(H301:H313)</f>
        <v>36</v>
      </c>
      <c r="I315">
        <f>SUM(I301:I313)</f>
        <v>39</v>
      </c>
      <c r="K315" t="s">
        <v>2191</v>
      </c>
      <c r="L315">
        <f>MIN(L301:L313)</f>
        <v>19</v>
      </c>
      <c r="M315" t="s">
        <v>2192</v>
      </c>
      <c r="O315" t="s">
        <v>247</v>
      </c>
      <c r="P315">
        <f>COUNTIF(P301:P313, "usa")</f>
        <v>8</v>
      </c>
    </row>
    <row r="316" spans="1:16">
      <c r="K316" t="s">
        <v>2193</v>
      </c>
      <c r="L316">
        <f>MAX(L301:L313)</f>
        <v>32</v>
      </c>
      <c r="O316" t="s">
        <v>246</v>
      </c>
      <c r="P316">
        <f>COUNTIF(P301:P313, "uk")</f>
        <v>2</v>
      </c>
    </row>
    <row r="317" spans="1:16">
      <c r="K317" t="s">
        <v>2194</v>
      </c>
      <c r="L317">
        <f>_xlfn.PERCENTILE.INC(L301:L313, 0.25)</f>
        <v>20.5</v>
      </c>
      <c r="O317" t="s">
        <v>2195</v>
      </c>
      <c r="P317" t="s">
        <v>2196</v>
      </c>
    </row>
    <row r="318" spans="1:16">
      <c r="A318" t="s">
        <v>2197</v>
      </c>
    </row>
    <row r="319" spans="1:16">
      <c r="A319" s="53" t="s">
        <v>2198</v>
      </c>
      <c r="B319" t="s">
        <v>2198</v>
      </c>
      <c r="C319">
        <v>274</v>
      </c>
      <c r="D319" t="s">
        <v>2199</v>
      </c>
      <c r="E319" t="s">
        <v>2200</v>
      </c>
      <c r="N319" s="36" t="s">
        <v>2201</v>
      </c>
    </row>
    <row r="320" spans="1:16">
      <c r="A320" s="53" t="s">
        <v>2202</v>
      </c>
      <c r="B320" t="s">
        <v>2202</v>
      </c>
      <c r="C320">
        <v>168</v>
      </c>
      <c r="D320" t="s">
        <v>2203</v>
      </c>
      <c r="E320" t="s">
        <v>2204</v>
      </c>
      <c r="N320" t="s">
        <v>2205</v>
      </c>
    </row>
    <row r="321" spans="1:14">
      <c r="A321" s="53" t="s">
        <v>2206</v>
      </c>
      <c r="B321" t="s">
        <v>2206</v>
      </c>
      <c r="C321">
        <v>201</v>
      </c>
      <c r="D321" t="s">
        <v>2207</v>
      </c>
      <c r="E321" t="s">
        <v>2208</v>
      </c>
      <c r="N321" s="36" t="s">
        <v>2209</v>
      </c>
    </row>
    <row r="322" spans="1:14">
      <c r="A322" s="53" t="s">
        <v>2210</v>
      </c>
      <c r="B322" t="s">
        <v>2210</v>
      </c>
      <c r="C322">
        <v>40</v>
      </c>
      <c r="D322" t="s">
        <v>2211</v>
      </c>
      <c r="E322" t="s">
        <v>2208</v>
      </c>
      <c r="N322" t="s">
        <v>2205</v>
      </c>
    </row>
    <row r="323" spans="1:14">
      <c r="A323" s="53" t="s">
        <v>2212</v>
      </c>
      <c r="B323" t="s">
        <v>2212</v>
      </c>
      <c r="C323">
        <v>45</v>
      </c>
      <c r="D323" t="s">
        <v>2213</v>
      </c>
      <c r="E323" t="s">
        <v>2214</v>
      </c>
      <c r="N323" s="36" t="s">
        <v>2215</v>
      </c>
    </row>
    <row r="324" spans="1:14">
      <c r="A324" s="53" t="s">
        <v>2216</v>
      </c>
      <c r="B324" t="s">
        <v>2216</v>
      </c>
      <c r="C324">
        <v>57</v>
      </c>
      <c r="D324" t="s">
        <v>2217</v>
      </c>
      <c r="E324" t="s">
        <v>2208</v>
      </c>
      <c r="N324" s="36" t="s">
        <v>2218</v>
      </c>
    </row>
    <row r="325" spans="1:14">
      <c r="B325" t="s">
        <v>2219</v>
      </c>
      <c r="C325">
        <v>173</v>
      </c>
      <c r="D325" t="s">
        <v>2220</v>
      </c>
      <c r="E325" t="s">
        <v>2208</v>
      </c>
      <c r="N325" s="36" t="s">
        <v>2221</v>
      </c>
    </row>
    <row r="326" spans="1:14">
      <c r="B326" t="s">
        <v>2222</v>
      </c>
      <c r="C326">
        <v>80</v>
      </c>
      <c r="D326" t="s">
        <v>2223</v>
      </c>
      <c r="E326" t="s">
        <v>2224</v>
      </c>
      <c r="N326" s="33" t="s">
        <v>2225</v>
      </c>
    </row>
    <row r="327" spans="1:14">
      <c r="B327" t="s">
        <v>2226</v>
      </c>
      <c r="C327">
        <v>28</v>
      </c>
      <c r="D327" t="s">
        <v>2227</v>
      </c>
      <c r="E327" t="s">
        <v>2208</v>
      </c>
      <c r="N327" t="s">
        <v>2205</v>
      </c>
    </row>
    <row r="328" spans="1:14">
      <c r="B328" t="s">
        <v>2228</v>
      </c>
      <c r="C328">
        <v>92</v>
      </c>
      <c r="D328" t="s">
        <v>2229</v>
      </c>
      <c r="E328" t="s">
        <v>2204</v>
      </c>
      <c r="N328" s="36" t="s">
        <v>2230</v>
      </c>
    </row>
    <row r="329" spans="1:14">
      <c r="B329" t="s">
        <v>2231</v>
      </c>
      <c r="C329">
        <v>241</v>
      </c>
      <c r="D329" t="s">
        <v>2203</v>
      </c>
      <c r="E329" t="s">
        <v>2200</v>
      </c>
      <c r="N329" s="33" t="s">
        <v>2225</v>
      </c>
    </row>
    <row r="330" spans="1:14">
      <c r="B330" t="s">
        <v>2232</v>
      </c>
      <c r="C330">
        <v>37</v>
      </c>
      <c r="D330" t="s">
        <v>2229</v>
      </c>
      <c r="E330" t="s">
        <v>2224</v>
      </c>
      <c r="N330" t="s">
        <v>2205</v>
      </c>
    </row>
    <row r="331" spans="1:14">
      <c r="B331" t="s">
        <v>2233</v>
      </c>
      <c r="C331">
        <v>100</v>
      </c>
      <c r="D331" t="s">
        <v>2234</v>
      </c>
      <c r="E331" t="s">
        <v>2235</v>
      </c>
      <c r="N331" s="36" t="s">
        <v>2236</v>
      </c>
    </row>
    <row r="332" spans="1:14">
      <c r="B332" t="s">
        <v>2237</v>
      </c>
      <c r="C332">
        <v>31</v>
      </c>
      <c r="D332" t="s">
        <v>2203</v>
      </c>
      <c r="E332" t="s">
        <v>2224</v>
      </c>
      <c r="N332" s="36" t="s">
        <v>2238</v>
      </c>
    </row>
    <row r="333" spans="1:14">
      <c r="B333" t="s">
        <v>2239</v>
      </c>
      <c r="C333">
        <v>139</v>
      </c>
      <c r="D333" t="s">
        <v>2203</v>
      </c>
      <c r="E333" t="s">
        <v>2240</v>
      </c>
      <c r="N333" s="36" t="s">
        <v>2241</v>
      </c>
    </row>
    <row r="334" spans="1:14">
      <c r="B334" t="s">
        <v>2242</v>
      </c>
      <c r="C334">
        <v>369</v>
      </c>
      <c r="D334" t="s">
        <v>2243</v>
      </c>
      <c r="E334" t="s">
        <v>2224</v>
      </c>
      <c r="N334" t="s">
        <v>2244</v>
      </c>
    </row>
    <row r="335" spans="1:14">
      <c r="B335" t="s">
        <v>2245</v>
      </c>
      <c r="C335">
        <v>63</v>
      </c>
      <c r="D335" t="s">
        <v>2227</v>
      </c>
      <c r="E335" t="s">
        <v>2224</v>
      </c>
      <c r="N335" s="33" t="s">
        <v>2246</v>
      </c>
    </row>
    <row r="336" spans="1:14">
      <c r="B336" t="s">
        <v>2247</v>
      </c>
      <c r="C336">
        <v>128</v>
      </c>
      <c r="D336" t="s">
        <v>2227</v>
      </c>
      <c r="E336" t="s">
        <v>2200</v>
      </c>
      <c r="N336" s="33" t="s">
        <v>2225</v>
      </c>
    </row>
    <row r="337" spans="1:15">
      <c r="B337" t="s">
        <v>2248</v>
      </c>
      <c r="C337">
        <v>360</v>
      </c>
      <c r="D337" t="s">
        <v>2249</v>
      </c>
      <c r="E337" t="s">
        <v>2208</v>
      </c>
      <c r="N337" s="36" t="s">
        <v>2250</v>
      </c>
    </row>
    <row r="338" spans="1:15">
      <c r="B338" t="s">
        <v>2251</v>
      </c>
      <c r="C338">
        <v>187</v>
      </c>
      <c r="D338" t="s">
        <v>2249</v>
      </c>
      <c r="E338" t="s">
        <v>2208</v>
      </c>
      <c r="N338" s="36" t="s">
        <v>2252</v>
      </c>
    </row>
    <row r="339" spans="1:15">
      <c r="B339" t="s">
        <v>2107</v>
      </c>
      <c r="C339">
        <v>925</v>
      </c>
      <c r="D339" t="s">
        <v>2249</v>
      </c>
      <c r="E339" t="s">
        <v>2208</v>
      </c>
      <c r="N339" s="36" t="s">
        <v>2253</v>
      </c>
    </row>
    <row r="340" spans="1:15">
      <c r="C340">
        <f>SUM(C319:C339)</f>
        <v>3738</v>
      </c>
    </row>
    <row r="342" spans="1:15">
      <c r="B342" t="s">
        <v>2254</v>
      </c>
      <c r="C342">
        <f>SUM(C325,C326,C327,C328,C330,C321,C335,C336)</f>
        <v>802</v>
      </c>
      <c r="E342" t="s">
        <v>2255</v>
      </c>
      <c r="F342">
        <v>2</v>
      </c>
      <c r="M342" t="s">
        <v>1707</v>
      </c>
      <c r="N342">
        <v>3</v>
      </c>
    </row>
    <row r="343" spans="1:15">
      <c r="B343" t="s">
        <v>2217</v>
      </c>
      <c r="C343">
        <f>C324</f>
        <v>57</v>
      </c>
      <c r="E343" t="s">
        <v>2224</v>
      </c>
      <c r="F343">
        <f>COUNTIF(E319:E339, "usa")</f>
        <v>5</v>
      </c>
      <c r="M343" t="s">
        <v>1787</v>
      </c>
      <c r="N343">
        <v>1</v>
      </c>
    </row>
    <row r="344" spans="1:15">
      <c r="B344" t="s">
        <v>2256</v>
      </c>
      <c r="C344">
        <f>SUM(C331:C331,C329,C332,C333)</f>
        <v>511</v>
      </c>
      <c r="E344" t="s">
        <v>2204</v>
      </c>
      <c r="F344">
        <f>COUNTIF(E319:E339, "canada")</f>
        <v>2</v>
      </c>
      <c r="M344" t="s">
        <v>2215</v>
      </c>
      <c r="N344">
        <v>12</v>
      </c>
    </row>
    <row r="345" spans="1:15">
      <c r="B345" t="s">
        <v>2257</v>
      </c>
      <c r="C345">
        <f>SUM(C337:C339,C334)</f>
        <v>1841</v>
      </c>
      <c r="E345" t="s">
        <v>2208</v>
      </c>
      <c r="F345">
        <f>COUNTIF(E319:E339, "uk")</f>
        <v>8</v>
      </c>
      <c r="M345" t="s">
        <v>2258</v>
      </c>
      <c r="N345">
        <v>5</v>
      </c>
    </row>
    <row r="346" spans="1:15">
      <c r="B346" t="s">
        <v>2259</v>
      </c>
      <c r="C346">
        <f>SUM(C319,C322)</f>
        <v>314</v>
      </c>
      <c r="E346" t="s">
        <v>2200</v>
      </c>
      <c r="F346">
        <f>COUNTIF(E319:E339, "australia")</f>
        <v>3</v>
      </c>
      <c r="N346">
        <f>SUM(N342:N345)</f>
        <v>21</v>
      </c>
    </row>
    <row r="347" spans="1:15">
      <c r="B347" t="s">
        <v>2213</v>
      </c>
      <c r="C347">
        <f>C323</f>
        <v>45</v>
      </c>
      <c r="E347" t="s">
        <v>2240</v>
      </c>
      <c r="F347">
        <v>1</v>
      </c>
    </row>
    <row r="348" spans="1:15">
      <c r="C348">
        <f>SUM(C342:C347)</f>
        <v>3570</v>
      </c>
      <c r="F348">
        <f>SUM(F342:F347)</f>
        <v>21</v>
      </c>
    </row>
    <row r="350" spans="1:15">
      <c r="A350" t="s">
        <v>2260</v>
      </c>
    </row>
    <row r="351" spans="1:15">
      <c r="B351" t="s">
        <v>2261</v>
      </c>
      <c r="C351">
        <v>89</v>
      </c>
      <c r="G351" s="15">
        <f>SUM(60/89)*100</f>
        <v>67.415730337078656</v>
      </c>
      <c r="H351">
        <f>SUM(C351-I351)</f>
        <v>60</v>
      </c>
      <c r="I351">
        <v>29</v>
      </c>
      <c r="J351">
        <v>30</v>
      </c>
      <c r="K351">
        <v>53</v>
      </c>
      <c r="L351">
        <v>39.72</v>
      </c>
      <c r="M351" t="s">
        <v>2262</v>
      </c>
      <c r="N351" t="s">
        <v>2263</v>
      </c>
      <c r="O351" t="s">
        <v>2264</v>
      </c>
    </row>
    <row r="352" spans="1:15">
      <c r="B352" t="s">
        <v>2265</v>
      </c>
      <c r="C352">
        <v>67</v>
      </c>
      <c r="G352">
        <f>SUM(32/67)*100</f>
        <v>47.761194029850742</v>
      </c>
      <c r="H352">
        <f>SUM(C352-I352)</f>
        <v>32</v>
      </c>
      <c r="I352">
        <v>35</v>
      </c>
      <c r="J352">
        <v>30</v>
      </c>
      <c r="K352">
        <v>64</v>
      </c>
      <c r="L352">
        <v>45.2</v>
      </c>
      <c r="M352" t="s">
        <v>2266</v>
      </c>
      <c r="N352" t="s">
        <v>2267</v>
      </c>
      <c r="O352" t="s">
        <v>2268</v>
      </c>
    </row>
    <row r="353" spans="1:15">
      <c r="B353" t="s">
        <v>2269</v>
      </c>
      <c r="C353">
        <v>102</v>
      </c>
      <c r="G353" s="15">
        <f>SUM(52/102)*100</f>
        <v>50.980392156862742</v>
      </c>
      <c r="H353">
        <v>52</v>
      </c>
      <c r="I353">
        <v>50</v>
      </c>
      <c r="J353">
        <v>30</v>
      </c>
      <c r="K353">
        <v>54</v>
      </c>
      <c r="M353" t="s">
        <v>2270</v>
      </c>
      <c r="N353" t="s">
        <v>2271</v>
      </c>
      <c r="O353" s="36" t="s">
        <v>2272</v>
      </c>
    </row>
    <row r="354" spans="1:15">
      <c r="B354" t="s">
        <v>2273</v>
      </c>
      <c r="C354">
        <v>40</v>
      </c>
      <c r="H354">
        <f>SUM(C354-I354)</f>
        <v>34</v>
      </c>
      <c r="I354">
        <v>6</v>
      </c>
      <c r="J354">
        <v>18</v>
      </c>
      <c r="K354">
        <v>65</v>
      </c>
      <c r="L354">
        <v>35.86</v>
      </c>
      <c r="M354" t="s">
        <v>2274</v>
      </c>
      <c r="N354" t="s">
        <v>2275</v>
      </c>
      <c r="O354" t="s">
        <v>2276</v>
      </c>
    </row>
    <row r="355" spans="1:15">
      <c r="B355" t="s">
        <v>2277</v>
      </c>
      <c r="C355">
        <v>65</v>
      </c>
      <c r="H355" t="s">
        <v>209</v>
      </c>
      <c r="J355">
        <v>15</v>
      </c>
      <c r="K355">
        <v>39</v>
      </c>
      <c r="M355" t="s">
        <v>2278</v>
      </c>
      <c r="N355" t="s">
        <v>2279</v>
      </c>
      <c r="O355" t="s">
        <v>1841</v>
      </c>
    </row>
    <row r="356" spans="1:15">
      <c r="B356" t="s">
        <v>2280</v>
      </c>
      <c r="C356">
        <v>50</v>
      </c>
      <c r="J356">
        <v>15</v>
      </c>
      <c r="K356">
        <v>38</v>
      </c>
      <c r="M356" t="s">
        <v>2281</v>
      </c>
      <c r="N356" t="s">
        <v>2279</v>
      </c>
      <c r="O356" t="s">
        <v>1813</v>
      </c>
    </row>
    <row r="357" spans="1:15">
      <c r="B357" t="s">
        <v>2282</v>
      </c>
      <c r="C357">
        <v>2</v>
      </c>
      <c r="J357">
        <v>21</v>
      </c>
      <c r="K357">
        <v>22</v>
      </c>
      <c r="M357" t="s">
        <v>2283</v>
      </c>
      <c r="N357" t="s">
        <v>1800</v>
      </c>
      <c r="O357" t="s">
        <v>2276</v>
      </c>
    </row>
    <row r="358" spans="1:15">
      <c r="B358" t="s">
        <v>2284</v>
      </c>
      <c r="C358">
        <v>4</v>
      </c>
      <c r="J358">
        <v>25</v>
      </c>
      <c r="K358">
        <v>38</v>
      </c>
      <c r="M358" t="s">
        <v>2285</v>
      </c>
      <c r="N358" t="s">
        <v>1800</v>
      </c>
      <c r="O358" t="s">
        <v>209</v>
      </c>
    </row>
    <row r="359" spans="1:15">
      <c r="C359">
        <f>SUM(C351:C358)</f>
        <v>419</v>
      </c>
    </row>
    <row r="360" spans="1:15">
      <c r="I360" t="s">
        <v>1913</v>
      </c>
      <c r="J360">
        <f>_xlfn.PERCENTILE.INC(J351:J358, 0.25)</f>
        <v>17.25</v>
      </c>
      <c r="K360">
        <f t="shared" ref="J360:K360" si="19">_xlfn.PERCENTILE.INC(K351:K358, 0.25)</f>
        <v>38</v>
      </c>
      <c r="L360">
        <f>_xlfn.PERCENTILE.INC(L351:L358, 0.25)</f>
        <v>37.79</v>
      </c>
    </row>
    <row r="361" spans="1:15">
      <c r="I361" t="s">
        <v>1914</v>
      </c>
      <c r="J361">
        <f>_xlfn.PERCENTILE.INC(J351:J358, 0.75)</f>
        <v>30</v>
      </c>
      <c r="K361">
        <f t="shared" ref="K361:L361" si="20">_xlfn.PERCENTILE.INC(K351:K358, 0.75)</f>
        <v>56.5</v>
      </c>
      <c r="L361">
        <f t="shared" si="20"/>
        <v>42.46</v>
      </c>
    </row>
    <row r="363" spans="1:15">
      <c r="A363" t="s">
        <v>2286</v>
      </c>
    </row>
    <row r="364" spans="1:15">
      <c r="B364" t="s">
        <v>2287</v>
      </c>
      <c r="C364">
        <v>9</v>
      </c>
      <c r="D364">
        <v>31</v>
      </c>
      <c r="M364" t="s">
        <v>2288</v>
      </c>
    </row>
    <row r="365" spans="1:15">
      <c r="B365" t="s">
        <v>2289</v>
      </c>
      <c r="C365">
        <f>SUM(H365:I365)</f>
        <v>147</v>
      </c>
      <c r="H365">
        <v>80</v>
      </c>
      <c r="I365">
        <v>67</v>
      </c>
      <c r="J365">
        <v>21</v>
      </c>
      <c r="K365">
        <v>70</v>
      </c>
      <c r="L365">
        <v>33</v>
      </c>
      <c r="M365" t="s">
        <v>2290</v>
      </c>
      <c r="N365" t="s">
        <v>1818</v>
      </c>
      <c r="O365" t="s">
        <v>1361</v>
      </c>
    </row>
    <row r="366" spans="1:15">
      <c r="B366" t="s">
        <v>2291</v>
      </c>
      <c r="C366">
        <v>579</v>
      </c>
      <c r="E366">
        <v>1307</v>
      </c>
      <c r="G366">
        <v>64</v>
      </c>
      <c r="H366" s="16">
        <f>SUM(C366*G366)/100</f>
        <v>370.56</v>
      </c>
      <c r="I366" s="16">
        <f>(C366-H366)</f>
        <v>208.44</v>
      </c>
      <c r="L366">
        <v>25</v>
      </c>
      <c r="M366" t="s">
        <v>2290</v>
      </c>
      <c r="N366" t="s">
        <v>1818</v>
      </c>
      <c r="O366" t="s">
        <v>1361</v>
      </c>
    </row>
    <row r="367" spans="1:15">
      <c r="B367" t="s">
        <v>2292</v>
      </c>
      <c r="C367">
        <v>104</v>
      </c>
      <c r="H367">
        <v>54</v>
      </c>
      <c r="I367">
        <v>50</v>
      </c>
      <c r="L367">
        <v>22</v>
      </c>
      <c r="M367" t="s">
        <v>2290</v>
      </c>
      <c r="N367" t="s">
        <v>1818</v>
      </c>
      <c r="O367" t="s">
        <v>2293</v>
      </c>
    </row>
    <row r="368" spans="1:15">
      <c r="B368" t="s">
        <v>2294</v>
      </c>
      <c r="C368">
        <v>38</v>
      </c>
      <c r="H368">
        <v>21</v>
      </c>
      <c r="I368">
        <v>17</v>
      </c>
      <c r="L368">
        <v>32.700000000000003</v>
      </c>
      <c r="M368" t="s">
        <v>2290</v>
      </c>
      <c r="N368" t="s">
        <v>1710</v>
      </c>
      <c r="O368" t="s">
        <v>2295</v>
      </c>
    </row>
    <row r="369" spans="1:16">
      <c r="B369" t="s">
        <v>2296</v>
      </c>
      <c r="C369">
        <v>12</v>
      </c>
      <c r="H369">
        <v>7</v>
      </c>
      <c r="I369">
        <v>5</v>
      </c>
      <c r="L369">
        <v>37</v>
      </c>
      <c r="M369" t="s">
        <v>2290</v>
      </c>
      <c r="N369" t="s">
        <v>1710</v>
      </c>
      <c r="O369" t="s">
        <v>2297</v>
      </c>
    </row>
    <row r="370" spans="1:16">
      <c r="B370" t="s">
        <v>2298</v>
      </c>
      <c r="C370">
        <v>62</v>
      </c>
      <c r="H370">
        <v>8</v>
      </c>
      <c r="I370">
        <v>23</v>
      </c>
      <c r="J370">
        <v>47</v>
      </c>
      <c r="K370">
        <v>67</v>
      </c>
      <c r="L370">
        <v>56.5</v>
      </c>
      <c r="M370" t="s">
        <v>2299</v>
      </c>
      <c r="N370" t="s">
        <v>2250</v>
      </c>
      <c r="O370" t="s">
        <v>2300</v>
      </c>
    </row>
    <row r="371" spans="1:16">
      <c r="B371" t="s">
        <v>2301</v>
      </c>
      <c r="C371">
        <v>72</v>
      </c>
      <c r="H371">
        <v>72</v>
      </c>
      <c r="J371">
        <v>40</v>
      </c>
      <c r="K371">
        <v>80</v>
      </c>
      <c r="L371">
        <v>55</v>
      </c>
      <c r="M371" t="s">
        <v>2302</v>
      </c>
      <c r="N371" t="s">
        <v>2250</v>
      </c>
      <c r="O371" t="s">
        <v>2303</v>
      </c>
    </row>
    <row r="372" spans="1:16">
      <c r="B372" t="s">
        <v>2261</v>
      </c>
      <c r="C372">
        <v>53</v>
      </c>
      <c r="H372">
        <v>24</v>
      </c>
      <c r="I372">
        <v>29</v>
      </c>
      <c r="J372">
        <v>30</v>
      </c>
      <c r="K372">
        <v>54</v>
      </c>
      <c r="L372">
        <v>39.700000000000003</v>
      </c>
      <c r="M372" t="s">
        <v>2304</v>
      </c>
      <c r="N372" t="s">
        <v>2305</v>
      </c>
      <c r="O372" t="s">
        <v>2268</v>
      </c>
    </row>
    <row r="373" spans="1:16">
      <c r="C373">
        <f>SUM(C365:C372)</f>
        <v>1067</v>
      </c>
      <c r="H373" s="16">
        <f t="shared" ref="H373:I373" si="21">SUM(H365:H372)</f>
        <v>636.55999999999995</v>
      </c>
      <c r="I373" s="16">
        <f t="shared" si="21"/>
        <v>399.44</v>
      </c>
    </row>
    <row r="375" spans="1:16">
      <c r="I375" t="s">
        <v>1913</v>
      </c>
      <c r="J375" s="16">
        <f>_xlfn.PERCENTILE.INC(J365:J372, 0.25)</f>
        <v>27.75</v>
      </c>
      <c r="K375" s="16">
        <f t="shared" ref="K375:L375" si="22">_xlfn.PERCENTILE.INC(K365:K372, 0.25)</f>
        <v>63.75</v>
      </c>
      <c r="L375" s="16">
        <f t="shared" si="22"/>
        <v>30.775000000000002</v>
      </c>
    </row>
    <row r="376" spans="1:16">
      <c r="I376" t="s">
        <v>1914</v>
      </c>
      <c r="J376" s="16">
        <f>_xlfn.PERCENTILE.INC(J365:J372, 0.75)</f>
        <v>41.75</v>
      </c>
      <c r="K376" s="16">
        <f t="shared" ref="K376:L376" si="23">_xlfn.PERCENTILE.INC(K365:K372, 0.75)</f>
        <v>72.5</v>
      </c>
      <c r="L376" s="16">
        <f t="shared" si="23"/>
        <v>43.525000000000006</v>
      </c>
    </row>
    <row r="377" spans="1:16">
      <c r="A377" t="s">
        <v>2306</v>
      </c>
    </row>
    <row r="378" spans="1:16">
      <c r="B378" t="s">
        <v>2307</v>
      </c>
      <c r="C378">
        <v>34</v>
      </c>
      <c r="E378">
        <v>29</v>
      </c>
      <c r="H378">
        <v>23</v>
      </c>
      <c r="I378">
        <f t="shared" ref="I378:I381" si="24">SUM(C378-H378)</f>
        <v>11</v>
      </c>
      <c r="J378">
        <v>12</v>
      </c>
      <c r="K378">
        <v>49</v>
      </c>
      <c r="M378" t="s">
        <v>2308</v>
      </c>
      <c r="N378" t="s">
        <v>2309</v>
      </c>
      <c r="O378" t="s">
        <v>2310</v>
      </c>
      <c r="P378" t="s">
        <v>2311</v>
      </c>
    </row>
    <row r="379" spans="1:16">
      <c r="B379" t="s">
        <v>2301</v>
      </c>
      <c r="C379">
        <v>75</v>
      </c>
      <c r="H379">
        <v>75</v>
      </c>
      <c r="I379">
        <f t="shared" si="24"/>
        <v>0</v>
      </c>
      <c r="J379">
        <v>18</v>
      </c>
      <c r="K379">
        <v>40</v>
      </c>
      <c r="M379" t="s">
        <v>2312</v>
      </c>
      <c r="N379" t="s">
        <v>2162</v>
      </c>
      <c r="O379" t="s">
        <v>1361</v>
      </c>
      <c r="P379" t="s">
        <v>2224</v>
      </c>
    </row>
    <row r="380" spans="1:16">
      <c r="B380" t="s">
        <v>2313</v>
      </c>
      <c r="C380">
        <v>25</v>
      </c>
      <c r="D380">
        <v>25</v>
      </c>
      <c r="E380">
        <v>4</v>
      </c>
      <c r="F380">
        <f>SUM(22+28)</f>
        <v>50</v>
      </c>
      <c r="H380" t="s">
        <v>209</v>
      </c>
      <c r="L380" t="s">
        <v>209</v>
      </c>
      <c r="M380" t="s">
        <v>2314</v>
      </c>
      <c r="N380" t="s">
        <v>2315</v>
      </c>
      <c r="P380" t="s">
        <v>2316</v>
      </c>
    </row>
    <row r="381" spans="1:16">
      <c r="A381" s="53" t="s">
        <v>2317</v>
      </c>
      <c r="B381" t="s">
        <v>2318</v>
      </c>
      <c r="C381">
        <v>39</v>
      </c>
      <c r="H381">
        <v>39</v>
      </c>
      <c r="I381">
        <f t="shared" si="24"/>
        <v>0</v>
      </c>
      <c r="J381">
        <v>14</v>
      </c>
      <c r="K381">
        <v>44</v>
      </c>
      <c r="M381" t="s">
        <v>2308</v>
      </c>
      <c r="N381" t="s">
        <v>2309</v>
      </c>
      <c r="O381" t="s">
        <v>1361</v>
      </c>
      <c r="P381" t="s">
        <v>2319</v>
      </c>
    </row>
    <row r="382" spans="1:16">
      <c r="A382" s="53" t="s">
        <v>2320</v>
      </c>
      <c r="B382" t="s">
        <v>2321</v>
      </c>
      <c r="C382">
        <v>37</v>
      </c>
      <c r="H382" t="s">
        <v>209</v>
      </c>
      <c r="L382">
        <v>25</v>
      </c>
      <c r="M382" t="s">
        <v>2308</v>
      </c>
      <c r="N382" t="s">
        <v>2322</v>
      </c>
      <c r="O382" t="s">
        <v>1361</v>
      </c>
      <c r="P382" t="s">
        <v>2319</v>
      </c>
    </row>
    <row r="383" spans="1:16">
      <c r="A383" s="53" t="s">
        <v>2323</v>
      </c>
      <c r="B383" t="s">
        <v>2324</v>
      </c>
      <c r="C383">
        <v>8</v>
      </c>
      <c r="E383">
        <f>SUM(12+6)</f>
        <v>18</v>
      </c>
      <c r="H383">
        <v>3</v>
      </c>
      <c r="I383">
        <v>5</v>
      </c>
      <c r="L383">
        <v>21</v>
      </c>
      <c r="M383" t="s">
        <v>2308</v>
      </c>
      <c r="N383" t="s">
        <v>2315</v>
      </c>
      <c r="P383" t="s">
        <v>351</v>
      </c>
    </row>
    <row r="384" spans="1:16">
      <c r="A384" s="53" t="s">
        <v>2325</v>
      </c>
      <c r="B384" t="s">
        <v>2325</v>
      </c>
      <c r="C384">
        <v>56</v>
      </c>
      <c r="D384">
        <v>59</v>
      </c>
      <c r="H384">
        <v>56</v>
      </c>
      <c r="I384">
        <f>SUM(C384-H384)</f>
        <v>0</v>
      </c>
      <c r="L384">
        <v>32</v>
      </c>
      <c r="M384" t="s">
        <v>2314</v>
      </c>
      <c r="N384" t="s">
        <v>2326</v>
      </c>
      <c r="O384" t="s">
        <v>209</v>
      </c>
      <c r="P384" t="s">
        <v>2224</v>
      </c>
    </row>
    <row r="385" spans="1:17">
      <c r="A385" s="53" t="s">
        <v>2294</v>
      </c>
      <c r="B385" t="s">
        <v>2294</v>
      </c>
      <c r="C385">
        <v>38</v>
      </c>
      <c r="M385" t="s">
        <v>2327</v>
      </c>
      <c r="N385" t="s">
        <v>2315</v>
      </c>
      <c r="P385" t="s">
        <v>2204</v>
      </c>
    </row>
    <row r="386" spans="1:17">
      <c r="A386" s="53" t="s">
        <v>2328</v>
      </c>
      <c r="B386" t="s">
        <v>2328</v>
      </c>
      <c r="C386">
        <v>76</v>
      </c>
      <c r="H386">
        <v>45</v>
      </c>
      <c r="I386">
        <f>SUM(C386-H386)</f>
        <v>31</v>
      </c>
      <c r="J386">
        <v>22</v>
      </c>
      <c r="K386">
        <v>24</v>
      </c>
      <c r="M386" t="s">
        <v>2327</v>
      </c>
      <c r="N386" t="s">
        <v>2329</v>
      </c>
      <c r="P386" t="s">
        <v>2330</v>
      </c>
    </row>
    <row r="387" spans="1:17">
      <c r="A387" s="53" t="s">
        <v>2331</v>
      </c>
      <c r="B387" t="s">
        <v>2331</v>
      </c>
      <c r="C387">
        <v>0</v>
      </c>
      <c r="E387">
        <v>18</v>
      </c>
      <c r="M387" t="s">
        <v>2327</v>
      </c>
      <c r="N387" t="s">
        <v>2315</v>
      </c>
      <c r="P387" t="s">
        <v>2204</v>
      </c>
    </row>
    <row r="388" spans="1:17">
      <c r="A388" s="53" t="s">
        <v>2291</v>
      </c>
      <c r="B388" t="s">
        <v>2291</v>
      </c>
      <c r="C388">
        <v>836</v>
      </c>
      <c r="E388">
        <f>SUM(1307-C388)</f>
        <v>471</v>
      </c>
      <c r="H388">
        <v>836</v>
      </c>
      <c r="I388">
        <f>SUM(C388-H388)</f>
        <v>0</v>
      </c>
      <c r="L388">
        <v>25</v>
      </c>
      <c r="M388" t="s">
        <v>2327</v>
      </c>
      <c r="N388" t="s">
        <v>2309</v>
      </c>
      <c r="P388" t="s">
        <v>2224</v>
      </c>
    </row>
    <row r="389" spans="1:17">
      <c r="A389" s="53" t="s">
        <v>2332</v>
      </c>
      <c r="B389" t="s">
        <v>2332</v>
      </c>
      <c r="C389">
        <v>49</v>
      </c>
      <c r="H389">
        <v>30</v>
      </c>
      <c r="I389">
        <v>19</v>
      </c>
      <c r="J389">
        <v>17</v>
      </c>
      <c r="K389">
        <v>45</v>
      </c>
      <c r="M389" t="s">
        <v>2327</v>
      </c>
      <c r="N389" t="s">
        <v>2333</v>
      </c>
      <c r="P389" t="s">
        <v>2204</v>
      </c>
    </row>
    <row r="390" spans="1:17">
      <c r="A390" s="53" t="s">
        <v>2334</v>
      </c>
      <c r="B390" t="s">
        <v>2334</v>
      </c>
      <c r="C390">
        <v>97</v>
      </c>
      <c r="H390">
        <v>64</v>
      </c>
      <c r="I390">
        <f>SUM(C390-H390)</f>
        <v>33</v>
      </c>
      <c r="J390">
        <v>9</v>
      </c>
      <c r="K390">
        <v>43</v>
      </c>
      <c r="M390" t="s">
        <v>2327</v>
      </c>
      <c r="N390" t="s">
        <v>2335</v>
      </c>
      <c r="P390" t="s">
        <v>2204</v>
      </c>
    </row>
    <row r="391" spans="1:17">
      <c r="A391" s="53" t="s">
        <v>2336</v>
      </c>
      <c r="B391" t="s">
        <v>2336</v>
      </c>
      <c r="C391">
        <v>145</v>
      </c>
      <c r="H391">
        <v>69</v>
      </c>
      <c r="I391">
        <f>SUM(C391-H391)</f>
        <v>76</v>
      </c>
      <c r="J391">
        <v>19</v>
      </c>
      <c r="K391">
        <v>28</v>
      </c>
      <c r="M391" t="s">
        <v>2327</v>
      </c>
      <c r="N391" t="s">
        <v>2335</v>
      </c>
      <c r="P391" t="s">
        <v>2224</v>
      </c>
    </row>
    <row r="392" spans="1:17">
      <c r="B392" t="s">
        <v>2337</v>
      </c>
      <c r="C392">
        <v>5</v>
      </c>
      <c r="D392">
        <v>5</v>
      </c>
      <c r="E392">
        <v>6</v>
      </c>
      <c r="F392">
        <v>11</v>
      </c>
      <c r="M392" t="s">
        <v>2314</v>
      </c>
      <c r="N392" t="s">
        <v>2315</v>
      </c>
      <c r="P392" t="s">
        <v>2316</v>
      </c>
    </row>
    <row r="393" spans="1:17">
      <c r="B393" t="s">
        <v>2338</v>
      </c>
      <c r="C393">
        <v>80</v>
      </c>
      <c r="H393">
        <v>48</v>
      </c>
      <c r="I393">
        <f>SUM(C393-H393)</f>
        <v>32</v>
      </c>
      <c r="M393" t="s">
        <v>2314</v>
      </c>
      <c r="N393" t="s">
        <v>2329</v>
      </c>
      <c r="O393" t="s">
        <v>209</v>
      </c>
      <c r="P393" t="s">
        <v>2224</v>
      </c>
    </row>
    <row r="394" spans="1:17">
      <c r="B394" t="s">
        <v>2339</v>
      </c>
      <c r="C394">
        <v>221</v>
      </c>
      <c r="H394" t="s">
        <v>209</v>
      </c>
      <c r="M394" t="s">
        <v>2314</v>
      </c>
      <c r="N394" t="s">
        <v>2315</v>
      </c>
      <c r="O394" t="s">
        <v>209</v>
      </c>
      <c r="P394" t="s">
        <v>2316</v>
      </c>
    </row>
    <row r="395" spans="1:17">
      <c r="B395" t="s">
        <v>2340</v>
      </c>
      <c r="C395">
        <v>3</v>
      </c>
      <c r="H395">
        <v>2</v>
      </c>
      <c r="I395">
        <v>1</v>
      </c>
      <c r="J395">
        <v>30</v>
      </c>
      <c r="K395">
        <v>50</v>
      </c>
      <c r="M395" t="s">
        <v>2327</v>
      </c>
      <c r="N395" t="s">
        <v>2315</v>
      </c>
      <c r="P395" t="s">
        <v>2224</v>
      </c>
    </row>
    <row r="396" spans="1:17">
      <c r="C396">
        <f>SUM(C378:C395)</f>
        <v>1824</v>
      </c>
      <c r="D396">
        <f>SUM(D378:D395)</f>
        <v>89</v>
      </c>
      <c r="E396">
        <f>SUM(E378:E395)</f>
        <v>546</v>
      </c>
      <c r="F396">
        <f>SUM(F378:F395)</f>
        <v>61</v>
      </c>
      <c r="H396">
        <f>SUM(H378:H395)</f>
        <v>1290</v>
      </c>
      <c r="I396">
        <f>SUM(I378:I395)</f>
        <v>208</v>
      </c>
    </row>
    <row r="397" spans="1:17">
      <c r="Q397">
        <v>7</v>
      </c>
    </row>
    <row r="398" spans="1:17">
      <c r="I398" t="s">
        <v>1913</v>
      </c>
      <c r="J398">
        <f>_xlfn.PERCENTILE.INC(J378:J396, 0.25)</f>
        <v>13.5</v>
      </c>
      <c r="K398">
        <f>_xlfn.PERCENTILE.INC(K378:K396, 0.25)</f>
        <v>37</v>
      </c>
      <c r="L398">
        <f>_xlfn.PERCENTILE.INC(L378:L396, 0.25)</f>
        <v>24</v>
      </c>
      <c r="P398" t="s">
        <v>247</v>
      </c>
      <c r="Q398">
        <v>4</v>
      </c>
    </row>
    <row r="399" spans="1:17">
      <c r="I399" t="s">
        <v>1914</v>
      </c>
      <c r="J399">
        <f>_xlfn.PERCENTILE.INC(J378:J396, 0.75)</f>
        <v>19.75</v>
      </c>
      <c r="K399">
        <f>_xlfn.PERCENTILE.INC(K378:K396, 0.75)</f>
        <v>46</v>
      </c>
      <c r="L399">
        <f>_xlfn.PERCENTILE.INC(L378:L396, 0.75)</f>
        <v>26.75</v>
      </c>
      <c r="M399" t="s">
        <v>2341</v>
      </c>
      <c r="N399">
        <v>6</v>
      </c>
      <c r="P399" t="s">
        <v>2342</v>
      </c>
      <c r="Q399">
        <v>2</v>
      </c>
    </row>
    <row r="400" spans="1:17">
      <c r="M400" t="s">
        <v>2343</v>
      </c>
      <c r="N400">
        <v>2</v>
      </c>
      <c r="P400" t="s">
        <v>2319</v>
      </c>
      <c r="Q400">
        <v>1</v>
      </c>
    </row>
    <row r="401" spans="1:17">
      <c r="M401" t="s">
        <v>2344</v>
      </c>
      <c r="N401">
        <v>7</v>
      </c>
      <c r="P401" t="s">
        <v>2240</v>
      </c>
      <c r="Q401">
        <v>1</v>
      </c>
    </row>
    <row r="402" spans="1:17">
      <c r="M402" t="s">
        <v>2162</v>
      </c>
      <c r="N402">
        <v>3</v>
      </c>
      <c r="P402" t="s">
        <v>2330</v>
      </c>
      <c r="Q402">
        <v>3</v>
      </c>
    </row>
    <row r="403" spans="1:17">
      <c r="N403">
        <f>SUM(N399:N402)</f>
        <v>18</v>
      </c>
      <c r="P403" t="s">
        <v>2316</v>
      </c>
      <c r="Q403">
        <f>SUM(Q397:Q402)</f>
        <v>18</v>
      </c>
    </row>
    <row r="405" spans="1:17">
      <c r="A405" t="s">
        <v>2345</v>
      </c>
    </row>
    <row r="406" spans="1:17">
      <c r="B406" t="s">
        <v>2346</v>
      </c>
      <c r="C406">
        <v>6</v>
      </c>
      <c r="H406" t="s">
        <v>209</v>
      </c>
      <c r="J406" t="s">
        <v>209</v>
      </c>
      <c r="N406" t="s">
        <v>2347</v>
      </c>
    </row>
    <row r="407" spans="1:17">
      <c r="B407" t="s">
        <v>2348</v>
      </c>
      <c r="C407">
        <v>71</v>
      </c>
      <c r="H407" t="s">
        <v>209</v>
      </c>
      <c r="J407" t="s">
        <v>209</v>
      </c>
      <c r="N407" t="s">
        <v>2349</v>
      </c>
    </row>
    <row r="408" spans="1:17">
      <c r="B408" t="s">
        <v>2350</v>
      </c>
      <c r="C408">
        <v>16</v>
      </c>
      <c r="H408" t="s">
        <v>209</v>
      </c>
      <c r="J408" t="s">
        <v>209</v>
      </c>
      <c r="N408" t="s">
        <v>2351</v>
      </c>
    </row>
    <row r="409" spans="1:17">
      <c r="C409">
        <f>SUM(C406:C408)</f>
        <v>93</v>
      </c>
    </row>
    <row r="411" spans="1:17">
      <c r="A411" t="s">
        <v>2352</v>
      </c>
    </row>
    <row r="412" spans="1:17">
      <c r="A412" s="53" t="s">
        <v>2353</v>
      </c>
      <c r="B412" s="37" t="s">
        <v>2353</v>
      </c>
      <c r="C412">
        <v>25</v>
      </c>
      <c r="L412">
        <v>25</v>
      </c>
    </row>
    <row r="413" spans="1:17">
      <c r="A413" s="53" t="s">
        <v>2354</v>
      </c>
      <c r="B413" t="s">
        <v>2354</v>
      </c>
      <c r="C413">
        <v>30</v>
      </c>
      <c r="L413">
        <v>30</v>
      </c>
    </row>
    <row r="414" spans="1:17">
      <c r="A414" s="53" t="s">
        <v>2355</v>
      </c>
      <c r="B414" t="s">
        <v>2355</v>
      </c>
      <c r="C414">
        <v>25</v>
      </c>
      <c r="L414">
        <v>34</v>
      </c>
    </row>
    <row r="415" spans="1:17">
      <c r="A415" s="53" t="s">
        <v>2356</v>
      </c>
      <c r="B415" s="35" t="s">
        <v>2357</v>
      </c>
      <c r="C415">
        <v>13</v>
      </c>
      <c r="L415">
        <v>45</v>
      </c>
    </row>
    <row r="416" spans="1:17">
      <c r="A416" s="53" t="s">
        <v>2358</v>
      </c>
      <c r="B416" t="s">
        <v>2358</v>
      </c>
      <c r="C416">
        <v>63</v>
      </c>
      <c r="L416">
        <v>30</v>
      </c>
    </row>
    <row r="417" spans="1:12">
      <c r="A417" s="53" t="s">
        <v>2359</v>
      </c>
      <c r="B417" s="38" t="s">
        <v>2359</v>
      </c>
      <c r="C417">
        <v>16</v>
      </c>
      <c r="L417">
        <v>38</v>
      </c>
    </row>
    <row r="418" spans="1:12">
      <c r="A418" s="53" t="s">
        <v>2360</v>
      </c>
      <c r="B418" s="38" t="s">
        <v>2360</v>
      </c>
      <c r="C418">
        <f>SUM(34+31+26)</f>
        <v>91</v>
      </c>
      <c r="L418">
        <v>32</v>
      </c>
    </row>
    <row r="419" spans="1:12">
      <c r="A419" s="53" t="s">
        <v>2361</v>
      </c>
      <c r="B419" t="s">
        <v>2361</v>
      </c>
      <c r="C419">
        <v>61</v>
      </c>
      <c r="L419">
        <v>32</v>
      </c>
    </row>
    <row r="420" spans="1:12">
      <c r="A420" s="53" t="s">
        <v>2362</v>
      </c>
      <c r="B420" t="s">
        <v>2362</v>
      </c>
      <c r="C420">
        <v>88</v>
      </c>
      <c r="L420">
        <v>32</v>
      </c>
    </row>
    <row r="421" spans="1:12">
      <c r="A421" s="53" t="s">
        <v>2363</v>
      </c>
      <c r="B421" s="32" t="s">
        <v>2363</v>
      </c>
      <c r="C421">
        <f>SUM(47+37+36)</f>
        <v>120</v>
      </c>
      <c r="L421">
        <v>33</v>
      </c>
    </row>
    <row r="422" spans="1:12">
      <c r="A422" s="53" t="s">
        <v>2364</v>
      </c>
      <c r="B422" s="38" t="s">
        <v>2364</v>
      </c>
      <c r="C422">
        <v>18</v>
      </c>
      <c r="L422">
        <v>36</v>
      </c>
    </row>
    <row r="423" spans="1:12">
      <c r="C423">
        <f>SUM(C412:C421)</f>
        <v>532</v>
      </c>
    </row>
    <row r="424" spans="1:12">
      <c r="K424" t="s">
        <v>2191</v>
      </c>
      <c r="L424">
        <f>MIN(L412:L421)</f>
        <v>25</v>
      </c>
    </row>
    <row r="425" spans="1:12">
      <c r="A425" t="s">
        <v>2365</v>
      </c>
      <c r="K425" t="s">
        <v>2193</v>
      </c>
      <c r="L425">
        <f>MAX(L412:L421)</f>
        <v>45</v>
      </c>
    </row>
    <row r="426" spans="1:12">
      <c r="B426" t="s">
        <v>2366</v>
      </c>
      <c r="C426">
        <v>49</v>
      </c>
      <c r="L426" s="39">
        <v>39</v>
      </c>
    </row>
    <row r="427" spans="1:12">
      <c r="B427" t="s">
        <v>2367</v>
      </c>
      <c r="C427">
        <v>138</v>
      </c>
      <c r="L427" s="40">
        <v>50</v>
      </c>
    </row>
    <row r="428" spans="1:12">
      <c r="B428" t="s">
        <v>2368</v>
      </c>
      <c r="C428">
        <v>40</v>
      </c>
      <c r="L428" s="40">
        <v>19.8</v>
      </c>
    </row>
    <row r="429" spans="1:12">
      <c r="B429" t="s">
        <v>2369</v>
      </c>
      <c r="C429">
        <v>109</v>
      </c>
      <c r="L429" s="40">
        <v>46.5</v>
      </c>
    </row>
    <row r="430" spans="1:12">
      <c r="B430" t="s">
        <v>2370</v>
      </c>
      <c r="C430">
        <v>28</v>
      </c>
      <c r="L430" s="40">
        <v>25.5</v>
      </c>
    </row>
    <row r="431" spans="1:12">
      <c r="B431" t="s">
        <v>2371</v>
      </c>
      <c r="C431">
        <v>101</v>
      </c>
      <c r="L431" s="40">
        <v>40.700000000000003</v>
      </c>
    </row>
    <row r="432" spans="1:12">
      <c r="B432" t="s">
        <v>2372</v>
      </c>
      <c r="C432">
        <v>54</v>
      </c>
      <c r="L432" s="40">
        <v>46.7</v>
      </c>
    </row>
    <row r="433" spans="1:13">
      <c r="B433" t="s">
        <v>2373</v>
      </c>
      <c r="C433">
        <v>12</v>
      </c>
      <c r="L433" s="40">
        <v>43.25</v>
      </c>
    </row>
    <row r="434" spans="1:13">
      <c r="B434" t="s">
        <v>2374</v>
      </c>
      <c r="C434">
        <v>5388</v>
      </c>
      <c r="L434" s="40">
        <v>55</v>
      </c>
    </row>
    <row r="435" spans="1:13">
      <c r="B435" t="s">
        <v>2375</v>
      </c>
      <c r="C435">
        <v>86</v>
      </c>
      <c r="L435" s="40">
        <v>37</v>
      </c>
    </row>
    <row r="436" spans="1:13">
      <c r="B436" t="s">
        <v>2376</v>
      </c>
      <c r="C436">
        <v>120</v>
      </c>
      <c r="L436" s="40">
        <v>42.6</v>
      </c>
    </row>
    <row r="437" spans="1:13">
      <c r="B437" t="s">
        <v>2377</v>
      </c>
      <c r="C437">
        <v>56</v>
      </c>
      <c r="J437">
        <v>19</v>
      </c>
      <c r="K437">
        <v>50</v>
      </c>
      <c r="L437" s="41"/>
    </row>
    <row r="438" spans="1:13">
      <c r="C438">
        <f>SUM(C426:C437)</f>
        <v>6181</v>
      </c>
    </row>
    <row r="439" spans="1:13">
      <c r="K439" t="s">
        <v>2191</v>
      </c>
      <c r="L439">
        <f>MIN(L426:L436)</f>
        <v>19.8</v>
      </c>
    </row>
    <row r="440" spans="1:13">
      <c r="A440" t="s">
        <v>2378</v>
      </c>
      <c r="D440" t="s">
        <v>2379</v>
      </c>
      <c r="E440" t="s">
        <v>2380</v>
      </c>
      <c r="K440" t="s">
        <v>2193</v>
      </c>
      <c r="L440">
        <f>MAX(L426:L436)</f>
        <v>55</v>
      </c>
    </row>
    <row r="441" spans="1:13">
      <c r="B441" s="37" t="s">
        <v>2381</v>
      </c>
      <c r="C441">
        <v>36</v>
      </c>
      <c r="D441" t="s">
        <v>2204</v>
      </c>
      <c r="E441" t="s">
        <v>2382</v>
      </c>
      <c r="G441">
        <v>39</v>
      </c>
      <c r="H441" s="16">
        <f>SUM(C441*G441/100)</f>
        <v>14.04</v>
      </c>
      <c r="I441" s="16">
        <f>SUM(C441-H441)</f>
        <v>21.96</v>
      </c>
      <c r="J441">
        <v>18</v>
      </c>
      <c r="K441">
        <v>65</v>
      </c>
      <c r="L441">
        <v>43</v>
      </c>
      <c r="M441" t="s">
        <v>2383</v>
      </c>
    </row>
    <row r="442" spans="1:13">
      <c r="B442" t="s">
        <v>2384</v>
      </c>
      <c r="C442">
        <v>9</v>
      </c>
      <c r="D442" t="s">
        <v>2224</v>
      </c>
      <c r="E442" t="s">
        <v>2385</v>
      </c>
      <c r="H442">
        <v>0</v>
      </c>
      <c r="I442">
        <v>9</v>
      </c>
      <c r="J442">
        <v>26</v>
      </c>
      <c r="K442">
        <v>45</v>
      </c>
      <c r="L442">
        <v>33</v>
      </c>
      <c r="M442" t="s">
        <v>2162</v>
      </c>
    </row>
    <row r="443" spans="1:13">
      <c r="B443" t="s">
        <v>2386</v>
      </c>
      <c r="C443">
        <v>52</v>
      </c>
      <c r="D443" t="s">
        <v>1861</v>
      </c>
      <c r="E443" s="22" t="s">
        <v>2387</v>
      </c>
      <c r="G443">
        <v>60</v>
      </c>
      <c r="H443" s="16">
        <f>SUM(C443*G443/100)</f>
        <v>31.2</v>
      </c>
      <c r="I443" s="16">
        <f>SUM(C443-H443)</f>
        <v>20.8</v>
      </c>
      <c r="L443">
        <v>67</v>
      </c>
      <c r="M443" t="s">
        <v>2162</v>
      </c>
    </row>
    <row r="444" spans="1:13">
      <c r="B444" t="s">
        <v>2388</v>
      </c>
      <c r="C444">
        <v>68</v>
      </c>
      <c r="D444" t="s">
        <v>2389</v>
      </c>
      <c r="E444" s="22" t="s">
        <v>2390</v>
      </c>
      <c r="G444">
        <v>20</v>
      </c>
      <c r="H444" s="16">
        <f>SUM(C444*G444/100)</f>
        <v>13.6</v>
      </c>
      <c r="I444" s="16">
        <f>SUM(C444-H444)</f>
        <v>54.4</v>
      </c>
      <c r="J444">
        <v>65</v>
      </c>
      <c r="L444">
        <v>70</v>
      </c>
      <c r="M444" t="s">
        <v>2162</v>
      </c>
    </row>
    <row r="445" spans="1:13">
      <c r="B445" t="s">
        <v>1946</v>
      </c>
      <c r="C445">
        <v>38</v>
      </c>
      <c r="D445" t="s">
        <v>2224</v>
      </c>
      <c r="E445" s="22" t="s">
        <v>2391</v>
      </c>
      <c r="H445">
        <v>0</v>
      </c>
      <c r="I445">
        <v>38</v>
      </c>
      <c r="L445">
        <v>20</v>
      </c>
      <c r="M445" t="s">
        <v>2104</v>
      </c>
    </row>
    <row r="446" spans="1:13">
      <c r="B446" t="s">
        <v>2392</v>
      </c>
      <c r="C446">
        <v>61</v>
      </c>
      <c r="D446" t="s">
        <v>2224</v>
      </c>
      <c r="E446" s="22" t="s">
        <v>2393</v>
      </c>
      <c r="G446">
        <v>15</v>
      </c>
      <c r="H446" s="16">
        <f>SUM(C446*G446/100)</f>
        <v>9.15</v>
      </c>
      <c r="I446" s="16">
        <f>SUM(C446-H446)</f>
        <v>51.85</v>
      </c>
      <c r="J446">
        <v>61</v>
      </c>
      <c r="K446">
        <v>92</v>
      </c>
      <c r="L446">
        <v>76</v>
      </c>
      <c r="M446" t="s">
        <v>2104</v>
      </c>
    </row>
    <row r="447" spans="1:13">
      <c r="B447" s="35" t="s">
        <v>2394</v>
      </c>
      <c r="C447">
        <v>200</v>
      </c>
      <c r="D447" t="s">
        <v>247</v>
      </c>
      <c r="E447" t="s">
        <v>2395</v>
      </c>
      <c r="G447">
        <v>72</v>
      </c>
      <c r="H447" s="16">
        <f>SUM(C447*G447/100)</f>
        <v>144</v>
      </c>
      <c r="I447" s="16">
        <f>SUM(C447-H447)</f>
        <v>56</v>
      </c>
      <c r="L447">
        <v>20</v>
      </c>
      <c r="M447" t="s">
        <v>2396</v>
      </c>
    </row>
    <row r="448" spans="1:13">
      <c r="C448">
        <f>SUM(C441:C447)</f>
        <v>464</v>
      </c>
      <c r="H448">
        <v>212</v>
      </c>
      <c r="I448">
        <v>252</v>
      </c>
    </row>
    <row r="450" spans="1:13">
      <c r="K450" t="s">
        <v>2191</v>
      </c>
      <c r="L450">
        <f>MIN(L438:L448)</f>
        <v>19.8</v>
      </c>
      <c r="M450" t="s">
        <v>860</v>
      </c>
    </row>
    <row r="451" spans="1:13">
      <c r="K451" t="s">
        <v>2193</v>
      </c>
      <c r="L451">
        <f>MAX(L438:L448)</f>
        <v>76</v>
      </c>
    </row>
    <row r="452" spans="1:13">
      <c r="D452" t="s">
        <v>862</v>
      </c>
      <c r="E452">
        <v>4</v>
      </c>
    </row>
    <row r="453" spans="1:13">
      <c r="D453" t="s">
        <v>2342</v>
      </c>
      <c r="E453">
        <v>1</v>
      </c>
    </row>
    <row r="454" spans="1:13">
      <c r="D454" t="s">
        <v>649</v>
      </c>
      <c r="J454" t="s">
        <v>2191</v>
      </c>
      <c r="K454">
        <v>18</v>
      </c>
    </row>
    <row r="455" spans="1:13">
      <c r="J455" t="s">
        <v>2193</v>
      </c>
      <c r="K455">
        <v>92</v>
      </c>
    </row>
    <row r="456" spans="1:13">
      <c r="A456" t="s">
        <v>2397</v>
      </c>
    </row>
    <row r="457" spans="1:13">
      <c r="B457" t="s">
        <v>2398</v>
      </c>
      <c r="C457">
        <v>3</v>
      </c>
    </row>
    <row r="458" spans="1:13">
      <c r="B458" t="s">
        <v>2399</v>
      </c>
      <c r="C458" t="s">
        <v>209</v>
      </c>
    </row>
    <row r="459" spans="1:13">
      <c r="B459" t="s">
        <v>2400</v>
      </c>
      <c r="C459">
        <v>6</v>
      </c>
      <c r="D459">
        <v>6</v>
      </c>
      <c r="J459">
        <v>20</v>
      </c>
      <c r="K459">
        <v>42</v>
      </c>
    </row>
    <row r="460" spans="1:13">
      <c r="B460" t="s">
        <v>2401</v>
      </c>
      <c r="C460">
        <v>27</v>
      </c>
      <c r="J460">
        <v>27</v>
      </c>
      <c r="K460">
        <v>64</v>
      </c>
    </row>
    <row r="461" spans="1:13">
      <c r="B461" t="s">
        <v>2402</v>
      </c>
      <c r="C461">
        <v>23</v>
      </c>
      <c r="L461">
        <v>50</v>
      </c>
    </row>
    <row r="462" spans="1:13">
      <c r="B462" t="s">
        <v>2403</v>
      </c>
      <c r="C462">
        <v>16</v>
      </c>
    </row>
    <row r="463" spans="1:13">
      <c r="B463" t="s">
        <v>2404</v>
      </c>
      <c r="C463">
        <v>25</v>
      </c>
    </row>
    <row r="464" spans="1:13">
      <c r="B464" t="s">
        <v>2405</v>
      </c>
      <c r="C464">
        <v>8</v>
      </c>
      <c r="J464">
        <v>24</v>
      </c>
      <c r="K464">
        <v>66</v>
      </c>
    </row>
    <row r="465" spans="1:9">
      <c r="B465" t="s">
        <v>2406</v>
      </c>
      <c r="C465">
        <v>0</v>
      </c>
      <c r="D465">
        <v>23</v>
      </c>
    </row>
    <row r="466" spans="1:9">
      <c r="B466" t="s">
        <v>2407</v>
      </c>
      <c r="C466">
        <v>0</v>
      </c>
      <c r="D466">
        <v>38</v>
      </c>
    </row>
    <row r="467" spans="1:9">
      <c r="B467" t="s">
        <v>2408</v>
      </c>
      <c r="C467">
        <v>0</v>
      </c>
      <c r="D467">
        <v>8</v>
      </c>
    </row>
    <row r="468" spans="1:9">
      <c r="C468">
        <f>SUM(C457:C467)</f>
        <v>108</v>
      </c>
      <c r="D468">
        <f>SUM(D457:D467)</f>
        <v>75</v>
      </c>
    </row>
    <row r="469" spans="1:9">
      <c r="A469" t="s">
        <v>2409</v>
      </c>
    </row>
    <row r="470" spans="1:9">
      <c r="B470" t="s">
        <v>2410</v>
      </c>
      <c r="C470">
        <v>5</v>
      </c>
      <c r="D470" t="s">
        <v>247</v>
      </c>
      <c r="H470">
        <v>3</v>
      </c>
      <c r="I470">
        <v>2</v>
      </c>
    </row>
    <row r="471" spans="1:9">
      <c r="B471" t="s">
        <v>2411</v>
      </c>
      <c r="C471">
        <v>4</v>
      </c>
      <c r="D471" t="s">
        <v>246</v>
      </c>
      <c r="H471">
        <v>4</v>
      </c>
    </row>
    <row r="472" spans="1:9">
      <c r="B472" t="s">
        <v>2412</v>
      </c>
      <c r="C472">
        <f>SUM(H472:I472)</f>
        <v>9</v>
      </c>
      <c r="D472" t="s">
        <v>246</v>
      </c>
      <c r="H472">
        <v>9</v>
      </c>
      <c r="I472">
        <v>0</v>
      </c>
    </row>
    <row r="473" spans="1:9">
      <c r="B473" t="s">
        <v>2413</v>
      </c>
      <c r="C473">
        <f t="shared" ref="C473:C484" si="25">SUM(H473:I473)</f>
        <v>11</v>
      </c>
      <c r="D473" t="s">
        <v>2208</v>
      </c>
      <c r="H473">
        <v>11</v>
      </c>
      <c r="I473">
        <v>0</v>
      </c>
    </row>
    <row r="474" spans="1:9">
      <c r="B474" t="s">
        <v>2414</v>
      </c>
      <c r="C474">
        <f t="shared" si="25"/>
        <v>11</v>
      </c>
      <c r="D474" t="s">
        <v>209</v>
      </c>
      <c r="H474">
        <v>11</v>
      </c>
      <c r="I474">
        <v>0</v>
      </c>
    </row>
    <row r="475" spans="1:9">
      <c r="B475" t="s">
        <v>2415</v>
      </c>
      <c r="C475">
        <f t="shared" si="25"/>
        <v>3</v>
      </c>
      <c r="D475" t="s">
        <v>2208</v>
      </c>
      <c r="I475">
        <v>3</v>
      </c>
    </row>
    <row r="476" spans="1:9">
      <c r="B476" t="s">
        <v>2416</v>
      </c>
      <c r="C476">
        <f t="shared" si="25"/>
        <v>3</v>
      </c>
      <c r="D476" t="s">
        <v>2208</v>
      </c>
      <c r="H476">
        <v>3</v>
      </c>
    </row>
    <row r="477" spans="1:9">
      <c r="B477" t="s">
        <v>2417</v>
      </c>
      <c r="C477">
        <f t="shared" si="25"/>
        <v>4</v>
      </c>
      <c r="D477" t="s">
        <v>2208</v>
      </c>
      <c r="H477">
        <v>2</v>
      </c>
      <c r="I477">
        <v>2</v>
      </c>
    </row>
    <row r="478" spans="1:9">
      <c r="B478" t="s">
        <v>2418</v>
      </c>
      <c r="C478">
        <f t="shared" si="25"/>
        <v>5</v>
      </c>
      <c r="D478" t="s">
        <v>246</v>
      </c>
      <c r="H478">
        <v>4</v>
      </c>
      <c r="I478">
        <v>1</v>
      </c>
    </row>
    <row r="479" spans="1:9">
      <c r="B479" s="33" t="s">
        <v>2419</v>
      </c>
      <c r="C479">
        <f t="shared" si="25"/>
        <v>3</v>
      </c>
      <c r="D479" t="s">
        <v>246</v>
      </c>
      <c r="H479">
        <v>2</v>
      </c>
      <c r="I479">
        <v>1</v>
      </c>
    </row>
    <row r="480" spans="1:9">
      <c r="B480" t="s">
        <v>2420</v>
      </c>
      <c r="C480">
        <f t="shared" si="25"/>
        <v>21</v>
      </c>
      <c r="D480" t="s">
        <v>2204</v>
      </c>
      <c r="H480">
        <v>4</v>
      </c>
      <c r="I480">
        <v>17</v>
      </c>
    </row>
    <row r="481" spans="1:11">
      <c r="B481" t="s">
        <v>2421</v>
      </c>
      <c r="C481">
        <f t="shared" si="25"/>
        <v>17</v>
      </c>
      <c r="D481" t="s">
        <v>209</v>
      </c>
      <c r="H481">
        <v>14</v>
      </c>
      <c r="I481">
        <v>3</v>
      </c>
    </row>
    <row r="482" spans="1:11">
      <c r="B482" t="s">
        <v>2422</v>
      </c>
      <c r="C482">
        <f t="shared" si="25"/>
        <v>14</v>
      </c>
      <c r="D482" t="s">
        <v>247</v>
      </c>
      <c r="H482">
        <v>6</v>
      </c>
      <c r="I482">
        <v>8</v>
      </c>
    </row>
    <row r="483" spans="1:11">
      <c r="B483" t="s">
        <v>2423</v>
      </c>
      <c r="C483" t="s">
        <v>209</v>
      </c>
      <c r="D483" t="s">
        <v>246</v>
      </c>
    </row>
    <row r="484" spans="1:11">
      <c r="B484" t="s">
        <v>2424</v>
      </c>
      <c r="C484">
        <f t="shared" si="25"/>
        <v>40</v>
      </c>
      <c r="D484" t="s">
        <v>2425</v>
      </c>
      <c r="H484">
        <v>21</v>
      </c>
      <c r="I484">
        <v>19</v>
      </c>
    </row>
    <row r="485" spans="1:11">
      <c r="B485" t="s">
        <v>2426</v>
      </c>
      <c r="C485">
        <v>48</v>
      </c>
      <c r="D485" t="s">
        <v>247</v>
      </c>
      <c r="G485">
        <v>36</v>
      </c>
      <c r="H485">
        <v>17</v>
      </c>
      <c r="I485">
        <f>SUM(C485-H485)</f>
        <v>31</v>
      </c>
    </row>
    <row r="486" spans="1:11">
      <c r="C486">
        <f>SUM(C470:C485)</f>
        <v>198</v>
      </c>
      <c r="H486">
        <f t="shared" ref="H486:I486" si="26">SUM(H470:H485)</f>
        <v>111</v>
      </c>
      <c r="I486">
        <f t="shared" si="26"/>
        <v>87</v>
      </c>
    </row>
    <row r="488" spans="1:11">
      <c r="C488" t="s">
        <v>246</v>
      </c>
      <c r="D488">
        <f>COUNTIF(D470:D485, "uk")</f>
        <v>9</v>
      </c>
    </row>
    <row r="489" spans="1:11">
      <c r="C489" t="s">
        <v>247</v>
      </c>
      <c r="D489">
        <f>COUNTIF(D470:D485, "usa")</f>
        <v>3</v>
      </c>
    </row>
    <row r="490" spans="1:11">
      <c r="C490" t="s">
        <v>2342</v>
      </c>
      <c r="D490">
        <f>COUNTIF(D470:D485, "canada")</f>
        <v>1</v>
      </c>
    </row>
    <row r="491" spans="1:11">
      <c r="C491" t="s">
        <v>2425</v>
      </c>
      <c r="D491">
        <v>1</v>
      </c>
    </row>
    <row r="492" spans="1:11">
      <c r="A492" t="s">
        <v>2427</v>
      </c>
    </row>
    <row r="493" spans="1:11">
      <c r="B493" t="s">
        <v>2428</v>
      </c>
      <c r="C493">
        <v>4</v>
      </c>
      <c r="E493" t="s">
        <v>2429</v>
      </c>
      <c r="H493">
        <v>2</v>
      </c>
      <c r="I493">
        <v>2</v>
      </c>
      <c r="J493">
        <v>22</v>
      </c>
      <c r="K493">
        <v>23</v>
      </c>
    </row>
    <row r="494" spans="1:11">
      <c r="B494" t="s">
        <v>2430</v>
      </c>
      <c r="C494">
        <v>60</v>
      </c>
      <c r="E494" t="s">
        <v>2429</v>
      </c>
      <c r="H494" t="s">
        <v>209</v>
      </c>
      <c r="I494" t="s">
        <v>209</v>
      </c>
    </row>
    <row r="495" spans="1:11">
      <c r="B495" t="s">
        <v>2431</v>
      </c>
      <c r="C495">
        <v>6</v>
      </c>
      <c r="E495" t="s">
        <v>1874</v>
      </c>
      <c r="H495">
        <v>6</v>
      </c>
      <c r="J495">
        <v>12</v>
      </c>
      <c r="K495">
        <v>25</v>
      </c>
    </row>
    <row r="496" spans="1:11">
      <c r="C496">
        <f>SUM(C493:C495)</f>
        <v>70</v>
      </c>
    </row>
    <row r="497" spans="1:12">
      <c r="A497" t="s">
        <v>2432</v>
      </c>
    </row>
    <row r="499" spans="1:12">
      <c r="B499" t="s">
        <v>2433</v>
      </c>
      <c r="C499">
        <f>SUM(10+41+12)</f>
        <v>63</v>
      </c>
      <c r="D499" t="s">
        <v>2224</v>
      </c>
      <c r="H499">
        <v>30</v>
      </c>
      <c r="I499">
        <v>33</v>
      </c>
      <c r="L499">
        <v>21</v>
      </c>
    </row>
    <row r="500" spans="1:12">
      <c r="B500" t="s">
        <v>2434</v>
      </c>
      <c r="C500">
        <v>34</v>
      </c>
      <c r="D500" t="s">
        <v>2435</v>
      </c>
      <c r="H500">
        <v>24</v>
      </c>
      <c r="I500">
        <v>10</v>
      </c>
      <c r="L500">
        <v>30</v>
      </c>
    </row>
    <row r="501" spans="1:12">
      <c r="B501" t="s">
        <v>2436</v>
      </c>
      <c r="C501">
        <v>58</v>
      </c>
      <c r="D501" t="s">
        <v>2224</v>
      </c>
      <c r="H501">
        <f>SUM(16+13)</f>
        <v>29</v>
      </c>
      <c r="I501">
        <v>29</v>
      </c>
      <c r="L501">
        <v>39</v>
      </c>
    </row>
    <row r="503" spans="1:12">
      <c r="B503" t="s">
        <v>2437</v>
      </c>
      <c r="C503">
        <v>36</v>
      </c>
      <c r="D503" t="s">
        <v>2224</v>
      </c>
      <c r="I503">
        <v>36</v>
      </c>
      <c r="L503">
        <v>34</v>
      </c>
    </row>
    <row r="504" spans="1:12">
      <c r="B504" t="s">
        <v>2438</v>
      </c>
      <c r="C504">
        <v>12</v>
      </c>
      <c r="D504" t="s">
        <v>2224</v>
      </c>
      <c r="I504">
        <v>12</v>
      </c>
      <c r="L504">
        <v>36</v>
      </c>
    </row>
    <row r="505" spans="1:12">
      <c r="B505" t="s">
        <v>2439</v>
      </c>
      <c r="C505">
        <v>24</v>
      </c>
      <c r="D505" t="s">
        <v>2235</v>
      </c>
      <c r="I505">
        <v>24</v>
      </c>
      <c r="L505">
        <v>36</v>
      </c>
    </row>
    <row r="506" spans="1:12">
      <c r="C506">
        <f>SUM(C498:C505)</f>
        <v>227</v>
      </c>
      <c r="H506">
        <f t="shared" ref="H506:I506" si="27">SUM(H498:H505)</f>
        <v>83</v>
      </c>
      <c r="I506">
        <f t="shared" si="27"/>
        <v>144</v>
      </c>
    </row>
    <row r="507" spans="1:12">
      <c r="L507" t="s">
        <v>589</v>
      </c>
    </row>
    <row r="508" spans="1:12">
      <c r="A508" t="s">
        <v>2440</v>
      </c>
      <c r="E508" t="s">
        <v>2441</v>
      </c>
      <c r="F508" t="s">
        <v>2442</v>
      </c>
    </row>
    <row r="509" spans="1:12">
      <c r="B509" t="s">
        <v>2443</v>
      </c>
      <c r="C509">
        <v>3</v>
      </c>
      <c r="E509" t="s">
        <v>2444</v>
      </c>
      <c r="F509" t="s">
        <v>2445</v>
      </c>
      <c r="J509">
        <v>18</v>
      </c>
      <c r="K509">
        <v>30</v>
      </c>
      <c r="L509">
        <v>39</v>
      </c>
    </row>
    <row r="510" spans="1:12">
      <c r="B510" t="s">
        <v>2446</v>
      </c>
      <c r="C510">
        <v>49</v>
      </c>
      <c r="E510" t="s">
        <v>2447</v>
      </c>
      <c r="F510" t="s">
        <v>2445</v>
      </c>
      <c r="J510">
        <v>22</v>
      </c>
      <c r="L510">
        <v>15</v>
      </c>
    </row>
    <row r="511" spans="1:12">
      <c r="B511" t="s">
        <v>2448</v>
      </c>
      <c r="C511">
        <v>83</v>
      </c>
      <c r="E511" t="s">
        <v>2449</v>
      </c>
      <c r="F511" t="s">
        <v>2445</v>
      </c>
      <c r="J511">
        <v>16</v>
      </c>
      <c r="K511">
        <v>50</v>
      </c>
      <c r="L511">
        <v>34</v>
      </c>
    </row>
    <row r="512" spans="1:12">
      <c r="B512" t="s">
        <v>2450</v>
      </c>
      <c r="C512">
        <v>60</v>
      </c>
      <c r="E512" t="s">
        <v>2449</v>
      </c>
      <c r="F512" t="s">
        <v>2445</v>
      </c>
      <c r="J512">
        <v>17</v>
      </c>
      <c r="K512">
        <v>43</v>
      </c>
      <c r="L512">
        <v>36</v>
      </c>
    </row>
    <row r="513" spans="2:12">
      <c r="B513" t="s">
        <v>2431</v>
      </c>
      <c r="C513">
        <v>6</v>
      </c>
      <c r="D513" t="s">
        <v>1874</v>
      </c>
      <c r="E513" t="s">
        <v>2447</v>
      </c>
      <c r="F513" t="s">
        <v>2445</v>
      </c>
      <c r="H513">
        <v>6</v>
      </c>
      <c r="J513">
        <v>12</v>
      </c>
      <c r="K513">
        <v>25</v>
      </c>
    </row>
    <row r="514" spans="2:12">
      <c r="B514" t="s">
        <v>2451</v>
      </c>
      <c r="C514">
        <v>12</v>
      </c>
      <c r="E514" t="s">
        <v>2447</v>
      </c>
      <c r="F514" t="s">
        <v>2445</v>
      </c>
      <c r="J514">
        <v>28</v>
      </c>
      <c r="K514">
        <v>62</v>
      </c>
    </row>
    <row r="515" spans="2:12">
      <c r="B515" t="s">
        <v>2452</v>
      </c>
      <c r="C515">
        <v>28</v>
      </c>
      <c r="E515" t="s">
        <v>2447</v>
      </c>
      <c r="F515" t="s">
        <v>2445</v>
      </c>
      <c r="J515">
        <v>24</v>
      </c>
      <c r="K515">
        <v>59</v>
      </c>
    </row>
    <row r="516" spans="2:12">
      <c r="B516" t="s">
        <v>2428</v>
      </c>
      <c r="C516">
        <v>4</v>
      </c>
      <c r="D516" t="s">
        <v>2429</v>
      </c>
      <c r="E516" t="s">
        <v>2444</v>
      </c>
      <c r="F516" t="s">
        <v>2445</v>
      </c>
      <c r="H516">
        <v>2</v>
      </c>
      <c r="I516">
        <v>2</v>
      </c>
      <c r="J516">
        <v>22</v>
      </c>
      <c r="K516">
        <v>23</v>
      </c>
    </row>
    <row r="517" spans="2:12">
      <c r="B517" t="s">
        <v>2453</v>
      </c>
      <c r="C517">
        <v>6</v>
      </c>
      <c r="E517" t="s">
        <v>2444</v>
      </c>
      <c r="F517" t="s">
        <v>2445</v>
      </c>
      <c r="J517">
        <v>26</v>
      </c>
      <c r="K517">
        <v>24</v>
      </c>
    </row>
    <row r="518" spans="2:12">
      <c r="B518" t="s">
        <v>2454</v>
      </c>
      <c r="C518">
        <v>99</v>
      </c>
      <c r="E518" t="s">
        <v>2449</v>
      </c>
      <c r="F518" t="s">
        <v>2445</v>
      </c>
      <c r="L518">
        <v>32.6</v>
      </c>
    </row>
    <row r="519" spans="2:12">
      <c r="B519" t="s">
        <v>2455</v>
      </c>
      <c r="C519">
        <v>252</v>
      </c>
      <c r="E519" t="s">
        <v>2447</v>
      </c>
      <c r="F519" t="s">
        <v>2445</v>
      </c>
      <c r="J519">
        <v>16</v>
      </c>
      <c r="K519">
        <v>59</v>
      </c>
    </row>
    <row r="520" spans="2:12">
      <c r="B520" t="s">
        <v>2456</v>
      </c>
      <c r="C520">
        <v>25</v>
      </c>
      <c r="E520" t="s">
        <v>2457</v>
      </c>
      <c r="F520" t="s">
        <v>2445</v>
      </c>
      <c r="J520">
        <v>18</v>
      </c>
      <c r="K520">
        <v>51</v>
      </c>
    </row>
    <row r="521" spans="2:12">
      <c r="B521" t="s">
        <v>2458</v>
      </c>
      <c r="C521">
        <v>8</v>
      </c>
      <c r="E521" t="s">
        <v>2444</v>
      </c>
      <c r="F521" t="s">
        <v>2445</v>
      </c>
      <c r="J521">
        <v>22</v>
      </c>
      <c r="K521">
        <v>45</v>
      </c>
    </row>
    <row r="522" spans="2:12">
      <c r="B522" t="s">
        <v>2459</v>
      </c>
      <c r="C522">
        <v>26</v>
      </c>
      <c r="E522" t="s">
        <v>2457</v>
      </c>
      <c r="F522" t="s">
        <v>2460</v>
      </c>
      <c r="J522">
        <v>18</v>
      </c>
      <c r="K522">
        <v>50</v>
      </c>
    </row>
    <row r="523" spans="2:12">
      <c r="B523" t="s">
        <v>2461</v>
      </c>
      <c r="C523">
        <v>6</v>
      </c>
      <c r="E523" t="s">
        <v>2444</v>
      </c>
      <c r="F523" t="s">
        <v>2445</v>
      </c>
      <c r="J523">
        <v>30</v>
      </c>
      <c r="K523">
        <v>42</v>
      </c>
    </row>
    <row r="524" spans="2:12">
      <c r="B524" t="s">
        <v>2462</v>
      </c>
      <c r="C524">
        <v>5</v>
      </c>
      <c r="E524" t="s">
        <v>2444</v>
      </c>
      <c r="F524" t="s">
        <v>2445</v>
      </c>
      <c r="J524">
        <v>33</v>
      </c>
      <c r="K524">
        <v>57</v>
      </c>
    </row>
    <row r="525" spans="2:12">
      <c r="B525" t="s">
        <v>2463</v>
      </c>
      <c r="C525">
        <v>4</v>
      </c>
      <c r="E525" t="s">
        <v>2444</v>
      </c>
      <c r="F525" t="s">
        <v>2445</v>
      </c>
      <c r="J525">
        <v>20</v>
      </c>
      <c r="K525">
        <v>40</v>
      </c>
    </row>
    <row r="526" spans="2:12">
      <c r="B526" t="s">
        <v>2464</v>
      </c>
      <c r="C526">
        <v>10</v>
      </c>
      <c r="E526" t="s">
        <v>2447</v>
      </c>
      <c r="F526" t="s">
        <v>2445</v>
      </c>
      <c r="J526">
        <v>15</v>
      </c>
      <c r="K526">
        <v>24</v>
      </c>
    </row>
    <row r="527" spans="2:12">
      <c r="B527" t="s">
        <v>2465</v>
      </c>
      <c r="C527">
        <v>23</v>
      </c>
      <c r="E527" t="s">
        <v>2449</v>
      </c>
      <c r="F527" t="s">
        <v>2445</v>
      </c>
      <c r="J527">
        <v>23</v>
      </c>
      <c r="K527">
        <v>60</v>
      </c>
    </row>
    <row r="528" spans="2:12">
      <c r="B528" t="s">
        <v>2466</v>
      </c>
      <c r="C528">
        <v>5</v>
      </c>
      <c r="E528" t="s">
        <v>2447</v>
      </c>
      <c r="F528" t="s">
        <v>2445</v>
      </c>
      <c r="J528">
        <v>20</v>
      </c>
      <c r="K528">
        <v>49</v>
      </c>
    </row>
    <row r="529" spans="1:12">
      <c r="B529" t="s">
        <v>2433</v>
      </c>
      <c r="C529">
        <v>53</v>
      </c>
      <c r="D529" t="s">
        <v>2224</v>
      </c>
      <c r="E529" t="s">
        <v>2449</v>
      </c>
      <c r="F529" t="s">
        <v>2445</v>
      </c>
      <c r="H529">
        <v>30</v>
      </c>
      <c r="I529">
        <v>33</v>
      </c>
      <c r="L529">
        <v>21</v>
      </c>
    </row>
    <row r="530" spans="1:12">
      <c r="B530" t="s">
        <v>2434</v>
      </c>
      <c r="C530">
        <v>34</v>
      </c>
      <c r="D530" t="s">
        <v>2435</v>
      </c>
      <c r="E530" t="s">
        <v>2457</v>
      </c>
      <c r="F530" t="s">
        <v>2445</v>
      </c>
      <c r="H530">
        <v>24</v>
      </c>
      <c r="I530">
        <v>10</v>
      </c>
      <c r="L530">
        <v>30</v>
      </c>
    </row>
    <row r="531" spans="1:12">
      <c r="B531" t="s">
        <v>2467</v>
      </c>
      <c r="C531">
        <v>30</v>
      </c>
      <c r="E531" t="s">
        <v>2447</v>
      </c>
      <c r="F531" t="s">
        <v>2445</v>
      </c>
      <c r="J531">
        <v>11</v>
      </c>
      <c r="K531">
        <v>19</v>
      </c>
    </row>
    <row r="532" spans="1:12">
      <c r="B532" t="s">
        <v>2468</v>
      </c>
      <c r="C532">
        <v>35</v>
      </c>
      <c r="E532" t="s">
        <v>2469</v>
      </c>
      <c r="F532" t="s">
        <v>2445</v>
      </c>
      <c r="J532">
        <v>18</v>
      </c>
      <c r="K532">
        <v>50</v>
      </c>
    </row>
    <row r="533" spans="1:12">
      <c r="C533">
        <f>SUM(C509:C532)</f>
        <v>866</v>
      </c>
    </row>
    <row r="534" spans="1:12">
      <c r="H534" t="s">
        <v>2191</v>
      </c>
      <c r="I534">
        <f>MIN(J509:K532)</f>
        <v>11</v>
      </c>
    </row>
    <row r="535" spans="1:12">
      <c r="D535" t="s">
        <v>2329</v>
      </c>
      <c r="E535">
        <f>COUNTIF(E509:E532, "cct")</f>
        <v>3</v>
      </c>
      <c r="H535" t="s">
        <v>1685</v>
      </c>
      <c r="I535">
        <f>MAX(J509:K532)</f>
        <v>62</v>
      </c>
    </row>
    <row r="536" spans="1:12">
      <c r="D536" t="s">
        <v>2469</v>
      </c>
      <c r="E536">
        <f>COUNTIF(E509:E532, "rct")</f>
        <v>1</v>
      </c>
    </row>
    <row r="537" spans="1:12">
      <c r="D537" t="s">
        <v>2470</v>
      </c>
      <c r="E537">
        <f>COUNTIF(E509:E532, "qe")</f>
        <v>5</v>
      </c>
    </row>
    <row r="538" spans="1:12">
      <c r="D538" t="s">
        <v>2471</v>
      </c>
      <c r="E538">
        <f>COUNTIF(E509:E532, "mb")</f>
        <v>7</v>
      </c>
    </row>
    <row r="539" spans="1:12">
      <c r="D539" t="s">
        <v>2472</v>
      </c>
      <c r="E539" s="44">
        <f>COUNTIF(E509:E532, "nr-pp")</f>
        <v>8</v>
      </c>
    </row>
    <row r="540" spans="1:12">
      <c r="A540" t="s">
        <v>2473</v>
      </c>
      <c r="E540">
        <f>SUM(E535:E539)</f>
        <v>24</v>
      </c>
    </row>
    <row r="541" spans="1:12">
      <c r="B541" t="s">
        <v>2474</v>
      </c>
      <c r="C541">
        <f>SUM(172+173)</f>
        <v>345</v>
      </c>
    </row>
    <row r="542" spans="1:12">
      <c r="B542" t="s">
        <v>2475</v>
      </c>
      <c r="C542">
        <v>107</v>
      </c>
    </row>
    <row r="543" spans="1:12">
      <c r="B543" t="s">
        <v>2476</v>
      </c>
      <c r="C543">
        <v>106</v>
      </c>
    </row>
    <row r="544" spans="1:12">
      <c r="B544" t="s">
        <v>2477</v>
      </c>
      <c r="C544">
        <v>54</v>
      </c>
    </row>
    <row r="545" spans="1:12">
      <c r="B545" t="s">
        <v>2478</v>
      </c>
      <c r="C545">
        <v>21</v>
      </c>
    </row>
    <row r="546" spans="1:12">
      <c r="C546">
        <f>SUM(C541:C545)</f>
        <v>633</v>
      </c>
    </row>
    <row r="547" spans="1:12">
      <c r="A547" t="s">
        <v>2479</v>
      </c>
    </row>
    <row r="548" spans="1:12">
      <c r="B548" t="s">
        <v>1875</v>
      </c>
      <c r="C548">
        <v>22</v>
      </c>
      <c r="H548">
        <v>8</v>
      </c>
      <c r="I548">
        <v>14</v>
      </c>
      <c r="L548" t="s">
        <v>2480</v>
      </c>
    </row>
    <row r="549" spans="1:12">
      <c r="B549" t="s">
        <v>2481</v>
      </c>
      <c r="C549">
        <v>42</v>
      </c>
      <c r="I549">
        <v>42</v>
      </c>
      <c r="L549">
        <v>34.1</v>
      </c>
    </row>
    <row r="550" spans="1:12">
      <c r="B550" t="s">
        <v>2482</v>
      </c>
      <c r="C550">
        <v>10</v>
      </c>
      <c r="H550">
        <v>1</v>
      </c>
      <c r="I550">
        <v>9</v>
      </c>
      <c r="J550">
        <v>23</v>
      </c>
      <c r="K550">
        <v>34</v>
      </c>
      <c r="L550">
        <v>30.3</v>
      </c>
    </row>
    <row r="551" spans="1:12">
      <c r="B551" t="s">
        <v>2483</v>
      </c>
      <c r="C551">
        <v>10</v>
      </c>
      <c r="I551">
        <v>10</v>
      </c>
      <c r="J551">
        <v>19</v>
      </c>
      <c r="K551">
        <v>39</v>
      </c>
      <c r="L551">
        <v>28</v>
      </c>
    </row>
    <row r="552" spans="1:12">
      <c r="B552" t="s">
        <v>2484</v>
      </c>
      <c r="C552">
        <v>45</v>
      </c>
      <c r="H552">
        <v>5</v>
      </c>
      <c r="I552">
        <v>40</v>
      </c>
      <c r="J552">
        <v>22</v>
      </c>
      <c r="K552">
        <v>45</v>
      </c>
      <c r="L552">
        <v>32</v>
      </c>
    </row>
    <row r="553" spans="1:12">
      <c r="B553" t="s">
        <v>2485</v>
      </c>
      <c r="C553">
        <v>24</v>
      </c>
      <c r="H553">
        <v>5</v>
      </c>
      <c r="I553">
        <v>19</v>
      </c>
      <c r="J553">
        <v>20</v>
      </c>
      <c r="K553">
        <v>49</v>
      </c>
    </row>
    <row r="554" spans="1:12">
      <c r="B554" t="s">
        <v>2486</v>
      </c>
      <c r="C554">
        <v>4</v>
      </c>
      <c r="I554">
        <v>4</v>
      </c>
      <c r="J554">
        <v>37</v>
      </c>
      <c r="K554">
        <v>52</v>
      </c>
      <c r="L554">
        <v>42</v>
      </c>
    </row>
    <row r="555" spans="1:12">
      <c r="C555">
        <f>SUM(C548:C554)</f>
        <v>157</v>
      </c>
      <c r="H555">
        <f t="shared" ref="H555:I555" si="28">SUM(H548:H554)</f>
        <v>19</v>
      </c>
      <c r="I555">
        <f t="shared" si="28"/>
        <v>138</v>
      </c>
    </row>
    <row r="557" spans="1:12">
      <c r="A557" t="s">
        <v>2487</v>
      </c>
      <c r="F557" t="s">
        <v>2488</v>
      </c>
    </row>
    <row r="558" spans="1:12">
      <c r="B558" t="s">
        <v>2489</v>
      </c>
      <c r="C558">
        <v>100</v>
      </c>
      <c r="D558" t="s">
        <v>2490</v>
      </c>
      <c r="E558" t="s">
        <v>2491</v>
      </c>
      <c r="F558" t="s">
        <v>2492</v>
      </c>
      <c r="G558" s="15">
        <f>SUM(H558/C558)*100</f>
        <v>86</v>
      </c>
      <c r="H558" s="16">
        <v>86</v>
      </c>
      <c r="I558" s="16">
        <f t="shared" ref="I558:I560" si="29">SUM(C558-H558)</f>
        <v>14</v>
      </c>
      <c r="L558" t="s">
        <v>209</v>
      </c>
    </row>
    <row r="559" spans="1:12">
      <c r="B559" t="s">
        <v>2493</v>
      </c>
      <c r="C559">
        <v>38</v>
      </c>
      <c r="D559" t="s">
        <v>2224</v>
      </c>
      <c r="E559" t="s">
        <v>2494</v>
      </c>
      <c r="G559">
        <v>79</v>
      </c>
      <c r="H559" s="16">
        <f t="shared" ref="H558:H560" si="30">SUM(C559*G559/100)</f>
        <v>30.02</v>
      </c>
      <c r="I559" s="16">
        <f t="shared" si="29"/>
        <v>7.98</v>
      </c>
      <c r="L559" t="s">
        <v>209</v>
      </c>
    </row>
    <row r="560" spans="1:12">
      <c r="B560" t="s">
        <v>2495</v>
      </c>
      <c r="C560">
        <v>14</v>
      </c>
      <c r="D560" t="s">
        <v>2224</v>
      </c>
      <c r="E560" t="s">
        <v>2494</v>
      </c>
      <c r="G560">
        <v>86</v>
      </c>
      <c r="H560" s="16">
        <f t="shared" si="30"/>
        <v>12.04</v>
      </c>
      <c r="I560" s="16">
        <f t="shared" si="29"/>
        <v>1.9600000000000009</v>
      </c>
      <c r="L560">
        <v>25</v>
      </c>
    </row>
    <row r="561" spans="2:12">
      <c r="B561" t="s">
        <v>2081</v>
      </c>
      <c r="C561">
        <v>17</v>
      </c>
      <c r="D561" t="s">
        <v>2224</v>
      </c>
      <c r="E561" t="s">
        <v>2469</v>
      </c>
      <c r="F561" t="s">
        <v>2492</v>
      </c>
      <c r="G561">
        <v>71</v>
      </c>
      <c r="H561" s="16">
        <f t="shared" ref="H561:H565" si="31">SUM(C561*G561/100)</f>
        <v>12.07</v>
      </c>
      <c r="I561" s="16">
        <f t="shared" ref="I561:I565" si="32">SUM(C561-H561)</f>
        <v>4.93</v>
      </c>
      <c r="L561">
        <v>20</v>
      </c>
    </row>
    <row r="562" spans="2:12">
      <c r="B562" t="s">
        <v>2496</v>
      </c>
      <c r="C562">
        <v>9</v>
      </c>
      <c r="D562" t="s">
        <v>2208</v>
      </c>
      <c r="E562" t="s">
        <v>2494</v>
      </c>
      <c r="G562">
        <v>56</v>
      </c>
      <c r="H562" s="16">
        <f t="shared" si="31"/>
        <v>5.04</v>
      </c>
      <c r="I562" s="16">
        <f t="shared" si="32"/>
        <v>3.96</v>
      </c>
      <c r="L562">
        <v>31</v>
      </c>
    </row>
    <row r="563" spans="2:12">
      <c r="B563" t="s">
        <v>2497</v>
      </c>
      <c r="C563">
        <v>68</v>
      </c>
      <c r="D563" t="s">
        <v>2498</v>
      </c>
      <c r="E563" t="s">
        <v>2469</v>
      </c>
      <c r="F563" t="s">
        <v>2499</v>
      </c>
      <c r="G563">
        <v>55</v>
      </c>
      <c r="H563" s="16">
        <f t="shared" si="31"/>
        <v>37.4</v>
      </c>
      <c r="I563" s="16">
        <f t="shared" si="32"/>
        <v>30.6</v>
      </c>
      <c r="L563">
        <v>32</v>
      </c>
    </row>
    <row r="564" spans="2:12">
      <c r="B564" t="s">
        <v>2500</v>
      </c>
      <c r="C564">
        <v>13</v>
      </c>
      <c r="D564" t="s">
        <v>2224</v>
      </c>
      <c r="E564" t="s">
        <v>2494</v>
      </c>
      <c r="G564">
        <v>85</v>
      </c>
      <c r="H564" s="16">
        <f t="shared" si="31"/>
        <v>11.05</v>
      </c>
      <c r="I564" s="16">
        <f t="shared" si="32"/>
        <v>1.9499999999999993</v>
      </c>
      <c r="L564">
        <v>19</v>
      </c>
    </row>
    <row r="565" spans="2:12">
      <c r="B565" t="s">
        <v>1694</v>
      </c>
      <c r="C565">
        <v>49</v>
      </c>
      <c r="D565" t="s">
        <v>2224</v>
      </c>
      <c r="E565" t="s">
        <v>2494</v>
      </c>
      <c r="G565" s="15">
        <f>SUM(H565/C565)*100</f>
        <v>85.714285714285708</v>
      </c>
      <c r="H565" s="16">
        <v>42</v>
      </c>
      <c r="I565" s="16">
        <f t="shared" si="32"/>
        <v>7</v>
      </c>
      <c r="L565">
        <v>21</v>
      </c>
    </row>
    <row r="566" spans="2:12">
      <c r="B566" t="s">
        <v>2040</v>
      </c>
      <c r="C566">
        <v>10</v>
      </c>
      <c r="D566" t="s">
        <v>2208</v>
      </c>
      <c r="E566" t="s">
        <v>2494</v>
      </c>
      <c r="H566">
        <v>10</v>
      </c>
      <c r="L566">
        <v>28</v>
      </c>
    </row>
    <row r="567" spans="2:12">
      <c r="B567" t="s">
        <v>2501</v>
      </c>
      <c r="C567">
        <v>8</v>
      </c>
      <c r="D567" t="s">
        <v>2224</v>
      </c>
      <c r="E567" t="s">
        <v>2494</v>
      </c>
      <c r="G567">
        <v>75</v>
      </c>
      <c r="H567" s="16">
        <f>SUM(C567*G567/100)</f>
        <v>6</v>
      </c>
      <c r="I567" s="16">
        <f>SUM(C567-H567)</f>
        <v>2</v>
      </c>
      <c r="L567">
        <v>21</v>
      </c>
    </row>
    <row r="568" spans="2:12">
      <c r="B568" t="s">
        <v>2049</v>
      </c>
      <c r="C568">
        <v>3</v>
      </c>
      <c r="D568" t="s">
        <v>2224</v>
      </c>
      <c r="E568" t="s">
        <v>2494</v>
      </c>
      <c r="H568">
        <v>3</v>
      </c>
      <c r="L568">
        <v>21</v>
      </c>
    </row>
    <row r="569" spans="2:12">
      <c r="B569" t="s">
        <v>1696</v>
      </c>
      <c r="C569">
        <v>22</v>
      </c>
      <c r="D569" t="s">
        <v>2224</v>
      </c>
      <c r="E569" t="s">
        <v>2469</v>
      </c>
      <c r="F569" t="s">
        <v>2492</v>
      </c>
      <c r="G569">
        <v>77</v>
      </c>
      <c r="H569" s="16">
        <f t="shared" ref="H569:H571" si="33">SUM(C569*G569/100)</f>
        <v>16.940000000000001</v>
      </c>
      <c r="I569" s="16">
        <f t="shared" ref="I569:I571" si="34">SUM(C569-H569)</f>
        <v>5.0599999999999987</v>
      </c>
      <c r="L569">
        <v>20</v>
      </c>
    </row>
    <row r="570" spans="2:12">
      <c r="B570" t="s">
        <v>1698</v>
      </c>
      <c r="C570">
        <v>53</v>
      </c>
      <c r="D570" t="s">
        <v>2224</v>
      </c>
      <c r="E570" t="s">
        <v>2469</v>
      </c>
      <c r="F570" t="s">
        <v>2492</v>
      </c>
      <c r="G570">
        <v>83</v>
      </c>
      <c r="H570" s="16">
        <f t="shared" si="33"/>
        <v>43.99</v>
      </c>
      <c r="I570" s="16">
        <f t="shared" si="34"/>
        <v>9.009999999999998</v>
      </c>
      <c r="L570">
        <v>20</v>
      </c>
    </row>
    <row r="571" spans="2:12">
      <c r="B571" t="s">
        <v>2502</v>
      </c>
      <c r="C571">
        <v>22</v>
      </c>
      <c r="D571" t="s">
        <v>2503</v>
      </c>
      <c r="E571" t="s">
        <v>2491</v>
      </c>
      <c r="F571" t="s">
        <v>254</v>
      </c>
      <c r="G571">
        <v>91</v>
      </c>
      <c r="H571" s="16">
        <f t="shared" si="33"/>
        <v>20.02</v>
      </c>
      <c r="I571" s="16">
        <f t="shared" si="34"/>
        <v>1.9800000000000004</v>
      </c>
      <c r="L571">
        <v>27</v>
      </c>
    </row>
    <row r="572" spans="2:12">
      <c r="B572" t="s">
        <v>2504</v>
      </c>
      <c r="C572">
        <v>5</v>
      </c>
      <c r="D572" t="s">
        <v>2208</v>
      </c>
      <c r="E572" t="s">
        <v>2494</v>
      </c>
      <c r="H572">
        <v>5</v>
      </c>
      <c r="L572" t="s">
        <v>209</v>
      </c>
    </row>
    <row r="573" spans="2:12">
      <c r="B573" t="s">
        <v>2505</v>
      </c>
      <c r="C573">
        <v>12</v>
      </c>
      <c r="D573" t="s">
        <v>2506</v>
      </c>
      <c r="E573" t="s">
        <v>2491</v>
      </c>
      <c r="F573" t="s">
        <v>2507</v>
      </c>
      <c r="G573">
        <v>83</v>
      </c>
      <c r="H573" s="16">
        <f t="shared" ref="H573:H574" si="35">SUM(C573*G573/100)</f>
        <v>9.9600000000000009</v>
      </c>
      <c r="I573" s="16">
        <f t="shared" ref="I573:I574" si="36">SUM(C573-H573)</f>
        <v>2.0399999999999991</v>
      </c>
      <c r="L573">
        <v>21</v>
      </c>
    </row>
    <row r="574" spans="2:12">
      <c r="B574" t="s">
        <v>2508</v>
      </c>
      <c r="C574">
        <v>5</v>
      </c>
      <c r="D574" t="s">
        <v>2224</v>
      </c>
      <c r="E574" t="s">
        <v>2491</v>
      </c>
      <c r="F574" t="s">
        <v>2509</v>
      </c>
      <c r="G574">
        <v>80</v>
      </c>
      <c r="H574" s="16">
        <f t="shared" si="35"/>
        <v>4</v>
      </c>
      <c r="I574" s="16">
        <f t="shared" si="36"/>
        <v>1</v>
      </c>
      <c r="L574" t="s">
        <v>209</v>
      </c>
    </row>
    <row r="575" spans="2:12">
      <c r="B575" t="s">
        <v>2060</v>
      </c>
      <c r="C575">
        <v>5</v>
      </c>
      <c r="D575" t="s">
        <v>2224</v>
      </c>
      <c r="E575" t="s">
        <v>2494</v>
      </c>
      <c r="H575">
        <v>5</v>
      </c>
      <c r="L575">
        <v>21</v>
      </c>
    </row>
    <row r="576" spans="2:12">
      <c r="B576" t="s">
        <v>2510</v>
      </c>
      <c r="C576">
        <v>3</v>
      </c>
      <c r="D576" t="s">
        <v>2224</v>
      </c>
      <c r="E576" t="s">
        <v>2494</v>
      </c>
      <c r="G576">
        <v>67</v>
      </c>
      <c r="H576" s="16">
        <f t="shared" ref="H576:H577" si="37">SUM(C576*G576/100)</f>
        <v>2.0099999999999998</v>
      </c>
      <c r="I576" s="16">
        <f t="shared" ref="I576:I577" si="38">SUM(C576-H576)</f>
        <v>0.99000000000000021</v>
      </c>
      <c r="L576">
        <v>23</v>
      </c>
    </row>
    <row r="577" spans="2:12">
      <c r="B577" t="s">
        <v>1699</v>
      </c>
      <c r="C577">
        <v>11</v>
      </c>
      <c r="D577" t="s">
        <v>2224</v>
      </c>
      <c r="E577" t="s">
        <v>2469</v>
      </c>
      <c r="F577" t="s">
        <v>2511</v>
      </c>
      <c r="G577">
        <v>91</v>
      </c>
      <c r="H577" s="16">
        <f t="shared" si="37"/>
        <v>10.01</v>
      </c>
      <c r="I577" s="16">
        <f t="shared" si="38"/>
        <v>0.99000000000000021</v>
      </c>
      <c r="L577">
        <v>36</v>
      </c>
    </row>
    <row r="578" spans="2:12">
      <c r="B578" t="s">
        <v>1700</v>
      </c>
      <c r="C578">
        <v>5</v>
      </c>
      <c r="D578" t="s">
        <v>2224</v>
      </c>
      <c r="E578" t="s">
        <v>2494</v>
      </c>
      <c r="H578">
        <v>5</v>
      </c>
      <c r="L578">
        <v>24</v>
      </c>
    </row>
    <row r="579" spans="2:12">
      <c r="B579" t="s">
        <v>2078</v>
      </c>
      <c r="C579">
        <v>8</v>
      </c>
      <c r="D579" t="s">
        <v>2224</v>
      </c>
      <c r="E579" t="s">
        <v>2469</v>
      </c>
      <c r="F579" t="s">
        <v>2512</v>
      </c>
      <c r="G579">
        <v>62</v>
      </c>
      <c r="H579" s="16">
        <f t="shared" ref="H579:H584" si="39">SUM(C579*G579/100)</f>
        <v>4.96</v>
      </c>
      <c r="I579" s="16">
        <f t="shared" ref="I579:I584" si="40">SUM(C579-H579)</f>
        <v>3.04</v>
      </c>
      <c r="L579">
        <v>20</v>
      </c>
    </row>
    <row r="580" spans="2:12">
      <c r="B580" t="s">
        <v>2057</v>
      </c>
      <c r="C580">
        <v>28</v>
      </c>
      <c r="D580" t="s">
        <v>2224</v>
      </c>
      <c r="E580" t="s">
        <v>2469</v>
      </c>
      <c r="F580" t="s">
        <v>2492</v>
      </c>
      <c r="G580">
        <v>94</v>
      </c>
      <c r="H580" s="16">
        <f t="shared" si="39"/>
        <v>26.32</v>
      </c>
      <c r="I580" s="16">
        <f t="shared" si="40"/>
        <v>1.6799999999999997</v>
      </c>
      <c r="L580">
        <v>25</v>
      </c>
    </row>
    <row r="581" spans="2:12">
      <c r="B581" t="s">
        <v>2513</v>
      </c>
      <c r="C581">
        <v>26</v>
      </c>
      <c r="D581" t="s">
        <v>2224</v>
      </c>
      <c r="E581" t="s">
        <v>2469</v>
      </c>
      <c r="F581" t="s">
        <v>2511</v>
      </c>
      <c r="G581" s="15">
        <f>SUM(H581/C581)*100</f>
        <v>76.923076923076934</v>
      </c>
      <c r="H581" s="16">
        <v>20</v>
      </c>
      <c r="I581" s="16">
        <f t="shared" si="40"/>
        <v>6</v>
      </c>
      <c r="L581">
        <v>24</v>
      </c>
    </row>
    <row r="582" spans="2:12">
      <c r="B582" t="s">
        <v>2514</v>
      </c>
      <c r="C582">
        <v>9</v>
      </c>
      <c r="D582" t="s">
        <v>2224</v>
      </c>
      <c r="E582" t="s">
        <v>2494</v>
      </c>
      <c r="G582">
        <v>88</v>
      </c>
      <c r="H582" s="16">
        <f t="shared" si="39"/>
        <v>7.92</v>
      </c>
      <c r="I582" s="16">
        <f t="shared" si="40"/>
        <v>1.08</v>
      </c>
      <c r="L582">
        <v>22</v>
      </c>
    </row>
    <row r="583" spans="2:12">
      <c r="B583" t="s">
        <v>2515</v>
      </c>
      <c r="C583">
        <v>22</v>
      </c>
      <c r="D583" t="s">
        <v>2224</v>
      </c>
      <c r="E583" t="s">
        <v>2494</v>
      </c>
      <c r="G583">
        <v>82</v>
      </c>
      <c r="H583" s="16">
        <f t="shared" si="39"/>
        <v>18.04</v>
      </c>
      <c r="I583" s="16">
        <f t="shared" si="40"/>
        <v>3.9600000000000009</v>
      </c>
      <c r="L583">
        <v>18</v>
      </c>
    </row>
    <row r="584" spans="2:12">
      <c r="B584" t="s">
        <v>2092</v>
      </c>
      <c r="C584">
        <v>31</v>
      </c>
      <c r="D584" t="s">
        <v>2516</v>
      </c>
      <c r="E584" t="s">
        <v>2491</v>
      </c>
      <c r="F584" t="s">
        <v>2492</v>
      </c>
      <c r="G584">
        <v>74</v>
      </c>
      <c r="H584" s="16">
        <f t="shared" si="39"/>
        <v>22.94</v>
      </c>
      <c r="I584" s="16">
        <f t="shared" si="40"/>
        <v>8.0599999999999987</v>
      </c>
      <c r="L584">
        <v>22</v>
      </c>
    </row>
    <row r="585" spans="2:12">
      <c r="B585" t="s">
        <v>2096</v>
      </c>
      <c r="C585">
        <v>51</v>
      </c>
      <c r="D585" t="s">
        <v>2516</v>
      </c>
      <c r="E585" t="s">
        <v>2491</v>
      </c>
      <c r="F585" t="s">
        <v>2517</v>
      </c>
      <c r="G585">
        <v>63</v>
      </c>
      <c r="H585" s="16">
        <f>SUM(C585*G585/100)</f>
        <v>32.130000000000003</v>
      </c>
      <c r="I585" s="16">
        <f>SUM(C585-H585)</f>
        <v>18.869999999999997</v>
      </c>
      <c r="L585">
        <v>33</v>
      </c>
    </row>
    <row r="586" spans="2:12">
      <c r="B586" t="s">
        <v>2047</v>
      </c>
      <c r="C586">
        <v>3</v>
      </c>
      <c r="D586" t="s">
        <v>2224</v>
      </c>
      <c r="E586" t="s">
        <v>2494</v>
      </c>
      <c r="H586">
        <v>3</v>
      </c>
      <c r="L586">
        <v>22</v>
      </c>
    </row>
    <row r="587" spans="2:12">
      <c r="B587" t="s">
        <v>2141</v>
      </c>
      <c r="C587">
        <v>3</v>
      </c>
      <c r="D587" t="s">
        <v>2224</v>
      </c>
      <c r="E587" t="s">
        <v>2494</v>
      </c>
      <c r="H587">
        <v>2</v>
      </c>
      <c r="I587">
        <v>1</v>
      </c>
      <c r="L587">
        <v>22</v>
      </c>
    </row>
    <row r="588" spans="2:12">
      <c r="C588">
        <f>SUM(C558:C587)</f>
        <v>653</v>
      </c>
      <c r="H588" s="16">
        <f>SUM(H558:H587)</f>
        <v>513.8599999999999</v>
      </c>
      <c r="I588" s="16">
        <f>SUM(I558:I587)</f>
        <v>139.13999999999999</v>
      </c>
      <c r="K588" t="s">
        <v>2191</v>
      </c>
      <c r="L588">
        <f>MIN(L558:L587)</f>
        <v>18</v>
      </c>
    </row>
    <row r="589" spans="2:12">
      <c r="K589" t="s">
        <v>2193</v>
      </c>
      <c r="L589">
        <f>MAX(L558:L588)</f>
        <v>36</v>
      </c>
    </row>
    <row r="590" spans="2:12">
      <c r="C590" t="s">
        <v>2224</v>
      </c>
      <c r="D590">
        <f>COUNTIF(D558:D587, "usa")</f>
        <v>21</v>
      </c>
    </row>
    <row r="591" spans="2:12">
      <c r="C591" t="s">
        <v>2208</v>
      </c>
      <c r="D591">
        <f>COUNTIF(D558:D587, "uk")</f>
        <v>3</v>
      </c>
      <c r="E591" t="s">
        <v>2494</v>
      </c>
      <c r="F591" s="45">
        <f>COUNTIF(E558:E587, "within")</f>
        <v>16</v>
      </c>
    </row>
    <row r="592" spans="2:12">
      <c r="C592" t="s">
        <v>2516</v>
      </c>
      <c r="D592">
        <v>2</v>
      </c>
      <c r="E592" t="s">
        <v>2469</v>
      </c>
      <c r="F592">
        <f>COUNTIF(E558:E587, "rct")</f>
        <v>8</v>
      </c>
    </row>
    <row r="593" spans="1:8">
      <c r="C593" t="s">
        <v>1861</v>
      </c>
      <c r="D593">
        <v>1</v>
      </c>
      <c r="E593" t="s">
        <v>2491</v>
      </c>
      <c r="F593">
        <f>COUNTIF(E558:E587, "nrct")</f>
        <v>6</v>
      </c>
    </row>
    <row r="594" spans="1:8">
      <c r="C594" t="s">
        <v>1210</v>
      </c>
      <c r="D594">
        <v>1</v>
      </c>
      <c r="F594">
        <f>SUM(F591:F593)</f>
        <v>30</v>
      </c>
    </row>
    <row r="595" spans="1:8">
      <c r="C595" t="s">
        <v>2498</v>
      </c>
      <c r="D595">
        <v>1</v>
      </c>
    </row>
    <row r="596" spans="1:8">
      <c r="C596" t="s">
        <v>2503</v>
      </c>
      <c r="D596">
        <v>1</v>
      </c>
    </row>
    <row r="597" spans="1:8">
      <c r="D597">
        <f>SUM(D590:D596)</f>
        <v>30</v>
      </c>
    </row>
    <row r="601" spans="1:8">
      <c r="A601" t="s">
        <v>2518</v>
      </c>
    </row>
    <row r="602" spans="1:8">
      <c r="B602" s="1" t="s">
        <v>2519</v>
      </c>
      <c r="C602">
        <f>SUM(24+28+24)</f>
        <v>76</v>
      </c>
      <c r="G602" s="15">
        <f>SUM(H602/C602)*100</f>
        <v>65.789473684210535</v>
      </c>
      <c r="H602">
        <v>50</v>
      </c>
    </row>
    <row r="603" spans="1:8">
      <c r="B603" s="1" t="s">
        <v>2520</v>
      </c>
      <c r="C603">
        <v>30</v>
      </c>
      <c r="G603" s="15">
        <f>SUM(H603/C603)*100</f>
        <v>46.666666666666664</v>
      </c>
      <c r="H603">
        <f>SUM(8+6)</f>
        <v>14</v>
      </c>
    </row>
    <row r="604" spans="1:8">
      <c r="B604" t="s">
        <v>2521</v>
      </c>
      <c r="C604">
        <f>SUM(32+24+19)</f>
        <v>75</v>
      </c>
      <c r="G604" s="15">
        <f>SUM(H604/C604)*100</f>
        <v>57.333333333333336</v>
      </c>
      <c r="H604" s="16">
        <f>SUM(17+16+10)</f>
        <v>43</v>
      </c>
    </row>
    <row r="605" spans="1:8">
      <c r="B605" t="s">
        <v>2522</v>
      </c>
      <c r="C605">
        <v>34</v>
      </c>
      <c r="G605" s="15">
        <f>SUM(H605/C605)*100</f>
        <v>55.882352941176471</v>
      </c>
      <c r="H605">
        <v>19</v>
      </c>
    </row>
    <row r="606" spans="1:8">
      <c r="B606" t="s">
        <v>2523</v>
      </c>
      <c r="C606">
        <v>28</v>
      </c>
      <c r="G606" s="15">
        <f>SUM(H606/C606)*100</f>
        <v>75</v>
      </c>
      <c r="H606">
        <v>21</v>
      </c>
    </row>
    <row r="607" spans="1:8">
      <c r="B607" t="s">
        <v>2524</v>
      </c>
      <c r="G607" s="51">
        <v>65</v>
      </c>
    </row>
    <row r="608" spans="1:8">
      <c r="B608" t="s">
        <v>2525</v>
      </c>
      <c r="G608" s="51">
        <v>45</v>
      </c>
    </row>
    <row r="609" spans="2:8">
      <c r="B609" t="s">
        <v>2526</v>
      </c>
      <c r="C609">
        <f>SUM(31+27)</f>
        <v>58</v>
      </c>
      <c r="G609" s="15">
        <f>SUM(H609/C609)*100</f>
        <v>68.965517241379317</v>
      </c>
      <c r="H609">
        <v>40</v>
      </c>
    </row>
    <row r="610" spans="2:8">
      <c r="B610" t="s">
        <v>2527</v>
      </c>
      <c r="C610">
        <v>31</v>
      </c>
      <c r="G610" s="15">
        <f>SUM(H610/C610)*100</f>
        <v>70.967741935483872</v>
      </c>
      <c r="H610">
        <f>SUM(15+7)</f>
        <v>22</v>
      </c>
    </row>
    <row r="611" spans="2:8">
      <c r="B611" t="s">
        <v>2528</v>
      </c>
      <c r="C611">
        <v>20</v>
      </c>
      <c r="G611" s="15">
        <f>SUM(H611/C611)*100</f>
        <v>70</v>
      </c>
      <c r="H611">
        <v>14</v>
      </c>
    </row>
    <row r="612" spans="2:8">
      <c r="B612" t="s">
        <v>2529</v>
      </c>
      <c r="C612">
        <v>14</v>
      </c>
      <c r="G612" s="15">
        <f t="shared" ref="G612:G614" si="41">SUM(H612/C612)*100</f>
        <v>50</v>
      </c>
      <c r="H612">
        <f>SUM(7*0.57+7*0.43)</f>
        <v>7</v>
      </c>
    </row>
    <row r="613" spans="2:8">
      <c r="B613" t="s">
        <v>2530</v>
      </c>
      <c r="C613">
        <v>83</v>
      </c>
      <c r="G613" s="15">
        <f t="shared" si="41"/>
        <v>52.216867469879524</v>
      </c>
      <c r="H613" s="16">
        <f>SUM(44*0.4+39*0.66)</f>
        <v>43.34</v>
      </c>
    </row>
    <row r="614" spans="2:8">
      <c r="B614" t="s">
        <v>2531</v>
      </c>
      <c r="C614">
        <v>82</v>
      </c>
      <c r="G614" s="15">
        <f t="shared" si="41"/>
        <v>80.487804878048792</v>
      </c>
      <c r="H614">
        <v>66</v>
      </c>
    </row>
    <row r="615" spans="2:8">
      <c r="B615" t="s">
        <v>1974</v>
      </c>
      <c r="G615" s="51">
        <v>69</v>
      </c>
    </row>
    <row r="616" spans="2:8">
      <c r="B616" t="s">
        <v>2532</v>
      </c>
      <c r="G616" s="52">
        <v>100</v>
      </c>
    </row>
    <row r="617" spans="2:8">
      <c r="B617" t="s">
        <v>2533</v>
      </c>
      <c r="C617">
        <v>31</v>
      </c>
      <c r="G617" s="15">
        <f>SUM(H617/C617)*100</f>
        <v>93.548387096774192</v>
      </c>
      <c r="H617">
        <f>SUM(13+16)</f>
        <v>29</v>
      </c>
    </row>
    <row r="618" spans="2:8">
      <c r="B618" t="s">
        <v>2534</v>
      </c>
      <c r="C618">
        <v>85</v>
      </c>
      <c r="G618" s="15">
        <f>SUM(H618/C618)*100</f>
        <v>85.882352941176464</v>
      </c>
      <c r="H618" s="16">
        <f>SUM(15+17+28+13)</f>
        <v>73</v>
      </c>
    </row>
    <row r="619" spans="2:8">
      <c r="B619" t="s">
        <v>2535</v>
      </c>
      <c r="G619" s="51">
        <f>SUM((8*0.6+6*0.84)/14)*100</f>
        <v>70.285714285714278</v>
      </c>
      <c r="H619" s="16"/>
    </row>
    <row r="620" spans="2:8">
      <c r="B620" t="s">
        <v>2536</v>
      </c>
      <c r="G620" s="51">
        <v>59</v>
      </c>
      <c r="H620" s="16"/>
    </row>
    <row r="621" spans="2:8">
      <c r="B621" t="s">
        <v>2537</v>
      </c>
      <c r="G621" s="51">
        <v>58</v>
      </c>
      <c r="H621" s="16"/>
    </row>
    <row r="622" spans="2:8">
      <c r="B622" t="s">
        <v>2538</v>
      </c>
      <c r="G622" s="51">
        <v>66</v>
      </c>
    </row>
    <row r="623" spans="2:8">
      <c r="B623" t="s">
        <v>2539</v>
      </c>
      <c r="C623">
        <v>66</v>
      </c>
      <c r="G623">
        <v>67</v>
      </c>
    </row>
    <row r="624" spans="2:8">
      <c r="B624" t="s">
        <v>2540</v>
      </c>
      <c r="G624" s="51">
        <f>SUM(13/20)*100</f>
        <v>65</v>
      </c>
    </row>
    <row r="625" spans="1:12">
      <c r="B625" t="s">
        <v>2541</v>
      </c>
      <c r="G625" s="51">
        <f>SUM((26*0.65+13*0.71)/40)*100</f>
        <v>65.325000000000017</v>
      </c>
    </row>
    <row r="626" spans="1:12">
      <c r="B626" t="s">
        <v>2542</v>
      </c>
      <c r="G626" s="51">
        <f>SUM((20*0.6+18*0.4)/38)*100</f>
        <v>50.526315789473685</v>
      </c>
    </row>
    <row r="627" spans="1:12">
      <c r="B627" t="s">
        <v>2543</v>
      </c>
      <c r="G627" s="51">
        <f>SUM((19*0.579+26*0.462)/45)*100</f>
        <v>51.139999999999993</v>
      </c>
    </row>
    <row r="628" spans="1:12">
      <c r="B628" t="s">
        <v>2544</v>
      </c>
      <c r="C628">
        <v>45</v>
      </c>
      <c r="G628">
        <v>100</v>
      </c>
    </row>
    <row r="629" spans="1:12">
      <c r="B629" t="s">
        <v>2545</v>
      </c>
      <c r="C629">
        <v>42</v>
      </c>
      <c r="G629" s="15">
        <f>SUM(H629/C629)*100</f>
        <v>50</v>
      </c>
      <c r="H629">
        <v>21</v>
      </c>
    </row>
    <row r="630" spans="1:12">
      <c r="B630" t="s">
        <v>2546</v>
      </c>
      <c r="G630" s="51" t="s">
        <v>209</v>
      </c>
    </row>
    <row r="631" spans="1:12">
      <c r="B631" t="s">
        <v>2547</v>
      </c>
      <c r="C631">
        <v>43</v>
      </c>
      <c r="G631" s="15">
        <f>SUM(H631/C631)*100</f>
        <v>48.837209302325576</v>
      </c>
      <c r="H631">
        <v>21</v>
      </c>
    </row>
    <row r="632" spans="1:12">
      <c r="B632" t="s">
        <v>2548</v>
      </c>
      <c r="G632" s="51">
        <f>SUM((28*0.9+24*0.58+25*0.84)/(77))*100</f>
        <v>78.077922077922082</v>
      </c>
    </row>
    <row r="633" spans="1:12">
      <c r="A633" t="s">
        <v>2549</v>
      </c>
      <c r="B633" t="s">
        <v>2550</v>
      </c>
      <c r="G633" s="51">
        <v>68</v>
      </c>
    </row>
    <row r="634" spans="1:12">
      <c r="A634">
        <v>1</v>
      </c>
    </row>
    <row r="635" spans="1:12">
      <c r="A635">
        <v>2</v>
      </c>
      <c r="B635" t="s">
        <v>2551</v>
      </c>
      <c r="C635">
        <v>39</v>
      </c>
      <c r="G635" s="15">
        <f>SUM(H635/C635)*100</f>
        <v>89.743589743589752</v>
      </c>
      <c r="H635">
        <v>35</v>
      </c>
      <c r="I635">
        <f>SUM(C635-H635)</f>
        <v>4</v>
      </c>
      <c r="L635" t="s">
        <v>2552</v>
      </c>
    </row>
    <row r="636" spans="1:12">
      <c r="A636">
        <v>3</v>
      </c>
      <c r="B636" t="s">
        <v>2553</v>
      </c>
      <c r="C636">
        <v>311</v>
      </c>
      <c r="G636" s="15">
        <f t="shared" ref="G636:G647" si="42">SUM(H636/C636)*100</f>
        <v>100</v>
      </c>
      <c r="H636">
        <v>311</v>
      </c>
      <c r="I636">
        <f>SUM(C636-H636)</f>
        <v>0</v>
      </c>
      <c r="J636" t="s">
        <v>209</v>
      </c>
      <c r="K636" t="s">
        <v>209</v>
      </c>
      <c r="L636" t="s">
        <v>209</v>
      </c>
    </row>
    <row r="637" spans="1:12">
      <c r="A637">
        <v>4</v>
      </c>
      <c r="B637" t="s">
        <v>2554</v>
      </c>
      <c r="C637">
        <v>74</v>
      </c>
      <c r="G637" s="15">
        <f t="shared" si="42"/>
        <v>44.594594594594597</v>
      </c>
      <c r="H637">
        <v>33</v>
      </c>
      <c r="I637">
        <f>SUM(C637-H637)</f>
        <v>41</v>
      </c>
      <c r="J637">
        <v>22</v>
      </c>
      <c r="K637">
        <v>64</v>
      </c>
      <c r="L637" t="s">
        <v>209</v>
      </c>
    </row>
    <row r="638" spans="1:12">
      <c r="A638">
        <v>5</v>
      </c>
      <c r="B638" t="s">
        <v>2107</v>
      </c>
      <c r="C638">
        <v>81</v>
      </c>
      <c r="G638" s="15">
        <f t="shared" si="42"/>
        <v>90.123456790123456</v>
      </c>
      <c r="H638">
        <f>SUM(38+35)</f>
        <v>73</v>
      </c>
      <c r="I638">
        <f>SUM(C638-H638)</f>
        <v>8</v>
      </c>
      <c r="L638" t="s">
        <v>2555</v>
      </c>
    </row>
    <row r="639" spans="1:12">
      <c r="A639">
        <v>6</v>
      </c>
      <c r="B639" t="s">
        <v>2556</v>
      </c>
      <c r="C639">
        <v>50</v>
      </c>
      <c r="G639" s="15">
        <f t="shared" si="42"/>
        <v>30</v>
      </c>
      <c r="H639">
        <v>15</v>
      </c>
      <c r="I639">
        <f t="shared" ref="I639:I644" si="43">SUM(C639-H639)</f>
        <v>35</v>
      </c>
      <c r="L639" t="s">
        <v>2557</v>
      </c>
    </row>
    <row r="640" spans="1:12">
      <c r="A640">
        <v>7</v>
      </c>
      <c r="B640" t="s">
        <v>2558</v>
      </c>
      <c r="C640">
        <v>50</v>
      </c>
      <c r="G640" s="15">
        <f t="shared" si="42"/>
        <v>74</v>
      </c>
      <c r="H640">
        <v>37</v>
      </c>
      <c r="I640">
        <f t="shared" si="43"/>
        <v>13</v>
      </c>
      <c r="L640" t="s">
        <v>2559</v>
      </c>
    </row>
    <row r="641" spans="1:12">
      <c r="B641" t="s">
        <v>2560</v>
      </c>
      <c r="C641">
        <v>59</v>
      </c>
      <c r="G641" s="15">
        <f t="shared" si="42"/>
        <v>50.847457627118644</v>
      </c>
      <c r="H641">
        <v>30</v>
      </c>
      <c r="I641">
        <f t="shared" si="43"/>
        <v>29</v>
      </c>
      <c r="L641" t="s">
        <v>2561</v>
      </c>
    </row>
    <row r="642" spans="1:12">
      <c r="B642" t="s">
        <v>2562</v>
      </c>
      <c r="C642">
        <v>31</v>
      </c>
      <c r="G642" s="15">
        <f>SUM(H642/C642)*100</f>
        <v>80.645161290322577</v>
      </c>
      <c r="H642">
        <f>SUM(15+10)</f>
        <v>25</v>
      </c>
      <c r="I642">
        <f>SUM(C642-H642)</f>
        <v>6</v>
      </c>
      <c r="L642" t="s">
        <v>2563</v>
      </c>
    </row>
    <row r="643" spans="1:12">
      <c r="B643" t="s">
        <v>2564</v>
      </c>
      <c r="C643">
        <v>32</v>
      </c>
      <c r="G643" s="15">
        <f t="shared" si="42"/>
        <v>68.75</v>
      </c>
      <c r="H643">
        <v>22</v>
      </c>
      <c r="I643">
        <f t="shared" si="43"/>
        <v>10</v>
      </c>
      <c r="L643" t="s">
        <v>2565</v>
      </c>
    </row>
    <row r="644" spans="1:12">
      <c r="B644" t="s">
        <v>2566</v>
      </c>
      <c r="C644">
        <v>240</v>
      </c>
      <c r="G644" s="15">
        <f t="shared" si="42"/>
        <v>65</v>
      </c>
      <c r="H644">
        <f>SUM(77+79)</f>
        <v>156</v>
      </c>
      <c r="I644">
        <f t="shared" si="43"/>
        <v>84</v>
      </c>
      <c r="L644" t="s">
        <v>2567</v>
      </c>
    </row>
    <row r="645" spans="1:12">
      <c r="B645" t="s">
        <v>2568</v>
      </c>
      <c r="C645">
        <v>63</v>
      </c>
      <c r="G645" s="15">
        <f>SUM(H645/C645)*100</f>
        <v>74.603174603174608</v>
      </c>
      <c r="H645">
        <v>47</v>
      </c>
      <c r="I645">
        <f>SUM(C645-H645)</f>
        <v>16</v>
      </c>
      <c r="L645" t="s">
        <v>2569</v>
      </c>
    </row>
    <row r="646" spans="1:12">
      <c r="B646" t="s">
        <v>2570</v>
      </c>
      <c r="C646">
        <v>112</v>
      </c>
      <c r="G646" s="15">
        <f t="shared" si="42"/>
        <v>64.285714285714292</v>
      </c>
      <c r="H646">
        <f>SUM(35+37)</f>
        <v>72</v>
      </c>
      <c r="I646">
        <f>SUM(C646-H646)</f>
        <v>40</v>
      </c>
      <c r="L646" t="s">
        <v>2571</v>
      </c>
    </row>
    <row r="647" spans="1:12">
      <c r="C647">
        <f>SUM(C639:C646)</f>
        <v>637</v>
      </c>
      <c r="G647" s="15">
        <f t="shared" si="42"/>
        <v>63.42229199372057</v>
      </c>
      <c r="H647">
        <f>SUM(H639:H646)</f>
        <v>404</v>
      </c>
      <c r="I647">
        <f>SUM(I639:I646)</f>
        <v>233</v>
      </c>
    </row>
    <row r="648" spans="1:12">
      <c r="L648" t="s">
        <v>1052</v>
      </c>
    </row>
    <row r="650" spans="1:12">
      <c r="A650" t="s">
        <v>2572</v>
      </c>
    </row>
    <row r="651" spans="1:12">
      <c r="B651" t="s">
        <v>2573</v>
      </c>
      <c r="C651">
        <v>1</v>
      </c>
      <c r="I651">
        <v>1</v>
      </c>
      <c r="K651">
        <v>39</v>
      </c>
      <c r="L651">
        <v>39</v>
      </c>
    </row>
    <row r="652" spans="1:12">
      <c r="B652" t="s">
        <v>2574</v>
      </c>
      <c r="C652">
        <v>3</v>
      </c>
      <c r="H652">
        <v>1</v>
      </c>
      <c r="I652">
        <v>2</v>
      </c>
      <c r="J652">
        <v>28</v>
      </c>
      <c r="K652">
        <v>38</v>
      </c>
    </row>
    <row r="653" spans="1:12">
      <c r="B653" t="s">
        <v>2575</v>
      </c>
      <c r="C653">
        <v>1</v>
      </c>
      <c r="H653">
        <v>1</v>
      </c>
      <c r="K653">
        <v>53</v>
      </c>
    </row>
    <row r="654" spans="1:12">
      <c r="B654" t="s">
        <v>1746</v>
      </c>
      <c r="C654">
        <v>6</v>
      </c>
      <c r="H654" t="s">
        <v>209</v>
      </c>
      <c r="I654" t="s">
        <v>209</v>
      </c>
      <c r="J654">
        <v>27</v>
      </c>
      <c r="K654">
        <v>36</v>
      </c>
    </row>
    <row r="655" spans="1:12">
      <c r="B655" t="s">
        <v>2576</v>
      </c>
      <c r="C655">
        <v>1</v>
      </c>
      <c r="H655">
        <v>1</v>
      </c>
      <c r="K655">
        <v>28</v>
      </c>
    </row>
    <row r="656" spans="1:12">
      <c r="B656" t="s">
        <v>2577</v>
      </c>
      <c r="C656">
        <v>4</v>
      </c>
      <c r="I656">
        <v>4</v>
      </c>
      <c r="J656">
        <v>23</v>
      </c>
      <c r="K656">
        <v>56</v>
      </c>
    </row>
    <row r="657" spans="1:12">
      <c r="B657" t="s">
        <v>2578</v>
      </c>
      <c r="C657">
        <v>10</v>
      </c>
      <c r="H657">
        <v>6</v>
      </c>
      <c r="I657">
        <v>4</v>
      </c>
      <c r="J657" t="s">
        <v>669</v>
      </c>
      <c r="K657" t="s">
        <v>670</v>
      </c>
    </row>
    <row r="658" spans="1:12">
      <c r="B658" t="s">
        <v>2579</v>
      </c>
      <c r="C658">
        <v>1</v>
      </c>
      <c r="H658">
        <v>1</v>
      </c>
      <c r="K658" t="s">
        <v>2580</v>
      </c>
    </row>
    <row r="659" spans="1:12">
      <c r="C659">
        <f>SUM(C651:C658)</f>
        <v>27</v>
      </c>
      <c r="H659">
        <f t="shared" ref="H659:I659" si="44">SUM(H651:H658)</f>
        <v>10</v>
      </c>
      <c r="I659">
        <f t="shared" si="44"/>
        <v>11</v>
      </c>
    </row>
    <row r="660" spans="1:12">
      <c r="A660" s="5" t="s">
        <v>2581</v>
      </c>
      <c r="D660" t="s">
        <v>2582</v>
      </c>
      <c r="E660" t="s">
        <v>2583</v>
      </c>
    </row>
    <row r="661" spans="1:12">
      <c r="A661" s="53" t="s">
        <v>2584</v>
      </c>
      <c r="B661" t="s">
        <v>2584</v>
      </c>
      <c r="C661">
        <v>67</v>
      </c>
      <c r="D661" t="s">
        <v>2585</v>
      </c>
      <c r="E661" t="s">
        <v>2586</v>
      </c>
      <c r="G661" s="15">
        <f>SUM(H661/(H661+I661))*100</f>
        <v>61.194029850746269</v>
      </c>
      <c r="H661">
        <v>41</v>
      </c>
      <c r="I661">
        <v>26</v>
      </c>
      <c r="J661">
        <v>20</v>
      </c>
      <c r="K661">
        <v>60</v>
      </c>
    </row>
    <row r="662" spans="1:12">
      <c r="A662" s="53" t="s">
        <v>2587</v>
      </c>
      <c r="B662" t="s">
        <v>2587</v>
      </c>
      <c r="C662">
        <v>60</v>
      </c>
      <c r="D662" t="s">
        <v>2588</v>
      </c>
      <c r="E662" t="s">
        <v>2586</v>
      </c>
      <c r="G662" s="15"/>
      <c r="H662" t="s">
        <v>209</v>
      </c>
      <c r="I662" t="s">
        <v>209</v>
      </c>
      <c r="J662" t="s">
        <v>209</v>
      </c>
      <c r="K662" t="s">
        <v>209</v>
      </c>
    </row>
    <row r="663" spans="1:12">
      <c r="A663" s="53" t="s">
        <v>2589</v>
      </c>
      <c r="B663" t="s">
        <v>2589</v>
      </c>
      <c r="C663">
        <v>72</v>
      </c>
      <c r="D663" t="s">
        <v>2588</v>
      </c>
      <c r="E663" t="s">
        <v>2586</v>
      </c>
      <c r="G663" s="15">
        <f t="shared" ref="G662:G678" si="45">SUM(H663/(H663+I663))*100</f>
        <v>68.055555555555557</v>
      </c>
      <c r="H663">
        <v>49</v>
      </c>
      <c r="I663">
        <v>23</v>
      </c>
      <c r="L663">
        <v>34.4</v>
      </c>
    </row>
    <row r="664" spans="1:12">
      <c r="A664" s="53" t="s">
        <v>2590</v>
      </c>
      <c r="B664" t="s">
        <v>2590</v>
      </c>
      <c r="C664">
        <v>40</v>
      </c>
      <c r="D664" t="s">
        <v>2588</v>
      </c>
      <c r="E664" t="s">
        <v>2586</v>
      </c>
      <c r="G664" s="15">
        <f t="shared" si="45"/>
        <v>45</v>
      </c>
      <c r="H664">
        <v>18</v>
      </c>
      <c r="I664">
        <v>22</v>
      </c>
      <c r="L664">
        <v>38.299999999999997</v>
      </c>
    </row>
    <row r="665" spans="1:12">
      <c r="A665" s="53" t="s">
        <v>2591</v>
      </c>
      <c r="B665" t="s">
        <v>2591</v>
      </c>
      <c r="C665">
        <v>144</v>
      </c>
      <c r="D665" t="s">
        <v>2585</v>
      </c>
      <c r="E665" t="s">
        <v>2511</v>
      </c>
      <c r="G665" s="15">
        <f t="shared" si="45"/>
        <v>63.934426229508205</v>
      </c>
      <c r="H665">
        <v>39</v>
      </c>
      <c r="I665">
        <v>22</v>
      </c>
      <c r="J665">
        <v>18</v>
      </c>
      <c r="K665">
        <v>57</v>
      </c>
    </row>
    <row r="666" spans="1:12">
      <c r="A666" s="53" t="s">
        <v>2592</v>
      </c>
      <c r="B666" t="s">
        <v>2592</v>
      </c>
      <c r="C666">
        <v>60</v>
      </c>
      <c r="D666" t="s">
        <v>2588</v>
      </c>
      <c r="E666" t="s">
        <v>2586</v>
      </c>
      <c r="G666" s="15">
        <f t="shared" si="45"/>
        <v>85</v>
      </c>
      <c r="H666">
        <v>51</v>
      </c>
      <c r="I666">
        <v>9</v>
      </c>
      <c r="L666">
        <v>35</v>
      </c>
    </row>
    <row r="667" spans="1:12">
      <c r="A667" s="53" t="s">
        <v>2593</v>
      </c>
      <c r="B667" t="s">
        <v>2593</v>
      </c>
      <c r="C667">
        <v>60</v>
      </c>
      <c r="D667" t="s">
        <v>2588</v>
      </c>
      <c r="E667" t="s">
        <v>2586</v>
      </c>
      <c r="G667" s="15">
        <f t="shared" si="45"/>
        <v>100</v>
      </c>
      <c r="H667">
        <v>60</v>
      </c>
      <c r="L667">
        <v>32</v>
      </c>
    </row>
    <row r="668" spans="1:12">
      <c r="A668" s="53" t="s">
        <v>1697</v>
      </c>
      <c r="B668" t="s">
        <v>1697</v>
      </c>
      <c r="C668">
        <v>30</v>
      </c>
      <c r="D668" t="s">
        <v>2588</v>
      </c>
      <c r="E668" t="s">
        <v>2586</v>
      </c>
      <c r="G668" s="15">
        <f t="shared" si="45"/>
        <v>56.666666666666664</v>
      </c>
      <c r="H668">
        <v>17</v>
      </c>
      <c r="I668">
        <v>13</v>
      </c>
      <c r="L668">
        <v>42.9</v>
      </c>
    </row>
    <row r="669" spans="1:12">
      <c r="A669" s="53" t="s">
        <v>2594</v>
      </c>
      <c r="B669" t="s">
        <v>2594</v>
      </c>
      <c r="C669">
        <v>80</v>
      </c>
      <c r="D669" t="s">
        <v>2588</v>
      </c>
      <c r="E669" t="s">
        <v>2586</v>
      </c>
      <c r="G669" s="15">
        <f t="shared" si="45"/>
        <v>73.75</v>
      </c>
      <c r="H669">
        <v>59</v>
      </c>
      <c r="I669">
        <v>21</v>
      </c>
      <c r="L669">
        <v>24.9</v>
      </c>
    </row>
    <row r="670" spans="1:12">
      <c r="A670" s="53" t="s">
        <v>2595</v>
      </c>
      <c r="B670" t="s">
        <v>2595</v>
      </c>
      <c r="C670">
        <v>90</v>
      </c>
      <c r="D670" t="s">
        <v>2588</v>
      </c>
      <c r="E670" t="s">
        <v>2586</v>
      </c>
      <c r="G670" s="15">
        <f t="shared" si="45"/>
        <v>48.888888888888886</v>
      </c>
      <c r="H670">
        <v>44</v>
      </c>
      <c r="I670">
        <v>46</v>
      </c>
      <c r="L670">
        <v>35.200000000000003</v>
      </c>
    </row>
    <row r="671" spans="1:12">
      <c r="A671" s="53" t="s">
        <v>2596</v>
      </c>
      <c r="B671" t="s">
        <v>2596</v>
      </c>
      <c r="C671">
        <v>96</v>
      </c>
      <c r="D671" t="s">
        <v>2588</v>
      </c>
      <c r="E671" t="s">
        <v>2597</v>
      </c>
      <c r="G671" s="15">
        <f t="shared" si="45"/>
        <v>63.541666666666664</v>
      </c>
      <c r="H671">
        <v>61</v>
      </c>
      <c r="I671">
        <v>35</v>
      </c>
      <c r="L671">
        <v>34.6</v>
      </c>
    </row>
    <row r="672" spans="1:12">
      <c r="A672" s="53" t="s">
        <v>2598</v>
      </c>
      <c r="B672" t="s">
        <v>2598</v>
      </c>
      <c r="C672">
        <v>58</v>
      </c>
      <c r="D672" t="s">
        <v>2588</v>
      </c>
      <c r="E672" t="s">
        <v>2586</v>
      </c>
      <c r="G672" s="15">
        <f>SUM(H672/(H672+I672))*100</f>
        <v>74.137931034482762</v>
      </c>
      <c r="H672">
        <v>43</v>
      </c>
      <c r="I672">
        <v>15</v>
      </c>
      <c r="L672">
        <v>31.6</v>
      </c>
    </row>
    <row r="673" spans="1:12">
      <c r="A673" s="53" t="s">
        <v>2599</v>
      </c>
      <c r="B673" t="s">
        <v>2599</v>
      </c>
      <c r="C673">
        <v>81</v>
      </c>
      <c r="D673" t="s">
        <v>2588</v>
      </c>
      <c r="E673" t="s">
        <v>2586</v>
      </c>
      <c r="G673" s="15">
        <f t="shared" si="45"/>
        <v>74.074074074074076</v>
      </c>
      <c r="H673">
        <v>60</v>
      </c>
      <c r="I673">
        <v>21</v>
      </c>
      <c r="J673">
        <v>18</v>
      </c>
      <c r="K673">
        <v>64</v>
      </c>
      <c r="L673">
        <v>37</v>
      </c>
    </row>
    <row r="674" spans="1:12">
      <c r="A674" s="53" t="s">
        <v>2600</v>
      </c>
      <c r="B674" t="s">
        <v>2600</v>
      </c>
      <c r="C674">
        <v>76</v>
      </c>
      <c r="D674" t="s">
        <v>2588</v>
      </c>
      <c r="E674" t="s">
        <v>2586</v>
      </c>
      <c r="G674" s="15"/>
      <c r="H674" t="s">
        <v>209</v>
      </c>
      <c r="I674" t="s">
        <v>209</v>
      </c>
      <c r="J674" t="s">
        <v>209</v>
      </c>
      <c r="K674" t="s">
        <v>209</v>
      </c>
      <c r="L674" t="s">
        <v>209</v>
      </c>
    </row>
    <row r="675" spans="1:12">
      <c r="A675" s="53" t="s">
        <v>2601</v>
      </c>
      <c r="B675" t="s">
        <v>2601</v>
      </c>
      <c r="C675">
        <v>37</v>
      </c>
      <c r="D675" t="s">
        <v>2588</v>
      </c>
      <c r="E675" t="s">
        <v>2586</v>
      </c>
      <c r="G675" s="15">
        <f t="shared" si="45"/>
        <v>54.054054054054056</v>
      </c>
      <c r="H675">
        <v>20</v>
      </c>
      <c r="I675">
        <v>17</v>
      </c>
      <c r="J675">
        <v>22</v>
      </c>
      <c r="K675">
        <v>58</v>
      </c>
      <c r="L675">
        <v>38</v>
      </c>
    </row>
    <row r="676" spans="1:12">
      <c r="A676" s="53" t="s">
        <v>2547</v>
      </c>
      <c r="B676" t="s">
        <v>2547</v>
      </c>
      <c r="C676">
        <v>62</v>
      </c>
      <c r="D676" t="s">
        <v>2588</v>
      </c>
      <c r="E676" t="s">
        <v>2586</v>
      </c>
      <c r="G676" s="15">
        <f t="shared" si="45"/>
        <v>62.903225806451616</v>
      </c>
      <c r="H676">
        <v>39</v>
      </c>
      <c r="I676">
        <v>23</v>
      </c>
      <c r="L676">
        <v>36.700000000000003</v>
      </c>
    </row>
    <row r="677" spans="1:12">
      <c r="A677" s="53" t="s">
        <v>2602</v>
      </c>
      <c r="B677" t="s">
        <v>2602</v>
      </c>
      <c r="C677">
        <v>30</v>
      </c>
      <c r="D677" t="s">
        <v>2588</v>
      </c>
      <c r="E677" t="s">
        <v>2586</v>
      </c>
      <c r="G677" s="15">
        <f t="shared" si="45"/>
        <v>70</v>
      </c>
      <c r="H677">
        <v>21</v>
      </c>
      <c r="I677">
        <v>9</v>
      </c>
      <c r="J677">
        <v>15</v>
      </c>
      <c r="K677">
        <v>50</v>
      </c>
      <c r="L677" t="s">
        <v>209</v>
      </c>
    </row>
    <row r="678" spans="1:12">
      <c r="A678" s="53" t="s">
        <v>2603</v>
      </c>
      <c r="B678" t="s">
        <v>2603</v>
      </c>
      <c r="C678">
        <v>72</v>
      </c>
      <c r="D678" t="s">
        <v>2588</v>
      </c>
      <c r="E678" t="s">
        <v>2586</v>
      </c>
      <c r="G678" s="15">
        <f t="shared" si="45"/>
        <v>58.571428571428577</v>
      </c>
      <c r="H678">
        <v>41</v>
      </c>
      <c r="I678">
        <v>29</v>
      </c>
      <c r="J678">
        <v>21</v>
      </c>
      <c r="K678">
        <v>55</v>
      </c>
    </row>
    <row r="679" spans="1:12">
      <c r="C679">
        <f>SUM(C661:C678)</f>
        <v>1215</v>
      </c>
      <c r="H679">
        <f>SUM(H661:H678)</f>
        <v>663</v>
      </c>
      <c r="I679">
        <f>SUM(I661:I678)</f>
        <v>331</v>
      </c>
    </row>
    <row r="681" spans="1:12">
      <c r="K681" t="s">
        <v>2191</v>
      </c>
      <c r="L681">
        <f>MIN(L663:L678)</f>
        <v>24.9</v>
      </c>
    </row>
    <row r="682" spans="1:12">
      <c r="K682" t="s">
        <v>2193</v>
      </c>
      <c r="L682">
        <f>MAX(L663:L678)</f>
        <v>42.9</v>
      </c>
    </row>
    <row r="684" spans="1:12">
      <c r="A684" t="s">
        <v>2604</v>
      </c>
    </row>
    <row r="685" spans="1:12">
      <c r="B685" t="s">
        <v>2147</v>
      </c>
      <c r="C685">
        <v>30</v>
      </c>
      <c r="D685" t="s">
        <v>740</v>
      </c>
      <c r="G685" t="s">
        <v>209</v>
      </c>
    </row>
    <row r="686" spans="1:12">
      <c r="B686" t="s">
        <v>2605</v>
      </c>
      <c r="C686">
        <v>30</v>
      </c>
      <c r="D686" t="s">
        <v>2606</v>
      </c>
      <c r="G686" t="s">
        <v>209</v>
      </c>
    </row>
    <row r="687" spans="1:12">
      <c r="B687" t="s">
        <v>2607</v>
      </c>
      <c r="C687">
        <v>40</v>
      </c>
      <c r="D687" t="s">
        <v>247</v>
      </c>
      <c r="G687" t="s">
        <v>209</v>
      </c>
    </row>
    <row r="688" spans="1:12">
      <c r="B688" t="s">
        <v>2149</v>
      </c>
      <c r="C688">
        <v>24</v>
      </c>
      <c r="D688" t="s">
        <v>1210</v>
      </c>
      <c r="G688" t="s">
        <v>209</v>
      </c>
    </row>
    <row r="689" spans="1:12">
      <c r="B689" t="s">
        <v>2608</v>
      </c>
      <c r="C689">
        <v>20</v>
      </c>
      <c r="D689" t="s">
        <v>351</v>
      </c>
      <c r="G689" t="s">
        <v>209</v>
      </c>
    </row>
    <row r="690" spans="1:12">
      <c r="B690" t="s">
        <v>2148</v>
      </c>
      <c r="C690">
        <v>29</v>
      </c>
      <c r="D690" t="s">
        <v>2609</v>
      </c>
      <c r="G690" t="s">
        <v>209</v>
      </c>
    </row>
    <row r="691" spans="1:12">
      <c r="B691" t="s">
        <v>2610</v>
      </c>
      <c r="C691">
        <v>69</v>
      </c>
      <c r="D691" t="s">
        <v>247</v>
      </c>
      <c r="G691">
        <v>70</v>
      </c>
    </row>
    <row r="692" spans="1:12">
      <c r="C692">
        <f>SUM(C685:C691)</f>
        <v>242</v>
      </c>
    </row>
    <row r="693" spans="1:12">
      <c r="A693" t="s">
        <v>2611</v>
      </c>
    </row>
    <row r="694" spans="1:12">
      <c r="B694" s="46" t="s">
        <v>2612</v>
      </c>
      <c r="C694">
        <v>92</v>
      </c>
      <c r="D694" t="s">
        <v>2224</v>
      </c>
      <c r="E694" t="s">
        <v>2613</v>
      </c>
      <c r="H694">
        <v>92</v>
      </c>
      <c r="J694" t="s">
        <v>209</v>
      </c>
      <c r="K694" t="s">
        <v>209</v>
      </c>
      <c r="L694">
        <v>38</v>
      </c>
    </row>
    <row r="695" spans="1:12">
      <c r="B695" s="46" t="s">
        <v>2614</v>
      </c>
      <c r="C695">
        <v>149</v>
      </c>
      <c r="D695" t="s">
        <v>2224</v>
      </c>
      <c r="E695" t="s">
        <v>2615</v>
      </c>
      <c r="H695">
        <v>149</v>
      </c>
      <c r="J695" t="s">
        <v>209</v>
      </c>
      <c r="K695" t="s">
        <v>209</v>
      </c>
      <c r="L695" t="s">
        <v>2616</v>
      </c>
    </row>
    <row r="696" spans="1:12">
      <c r="B696" s="46" t="s">
        <v>2617</v>
      </c>
      <c r="C696">
        <v>408</v>
      </c>
      <c r="D696" t="s">
        <v>2224</v>
      </c>
      <c r="E696" t="s">
        <v>2615</v>
      </c>
      <c r="G696">
        <v>46</v>
      </c>
      <c r="H696" s="16">
        <f>SUM(C696*G696)/100</f>
        <v>187.68</v>
      </c>
      <c r="I696" s="16">
        <f>SUM(C696-H696)</f>
        <v>220.32</v>
      </c>
      <c r="L696">
        <v>36.5</v>
      </c>
    </row>
    <row r="697" spans="1:12">
      <c r="B697" s="46" t="s">
        <v>2618</v>
      </c>
      <c r="C697">
        <v>79</v>
      </c>
      <c r="D697" t="s">
        <v>2224</v>
      </c>
      <c r="E697" t="s">
        <v>2619</v>
      </c>
      <c r="I697">
        <v>79</v>
      </c>
      <c r="J697" t="s">
        <v>209</v>
      </c>
      <c r="L697">
        <v>42.3</v>
      </c>
    </row>
    <row r="698" spans="1:12">
      <c r="B698" s="46" t="s">
        <v>2620</v>
      </c>
      <c r="C698">
        <v>52</v>
      </c>
      <c r="D698" t="s">
        <v>2224</v>
      </c>
      <c r="E698" t="s">
        <v>2615</v>
      </c>
      <c r="G698">
        <v>52</v>
      </c>
      <c r="H698" s="16">
        <f>SUM(C698*G698)/100</f>
        <v>27.04</v>
      </c>
      <c r="I698" s="16">
        <f>SUM(C698-H698)</f>
        <v>24.96</v>
      </c>
      <c r="L698">
        <v>39.200000000000003</v>
      </c>
    </row>
    <row r="699" spans="1:12">
      <c r="B699" s="46" t="s">
        <v>2621</v>
      </c>
      <c r="C699">
        <v>27</v>
      </c>
      <c r="D699" t="s">
        <v>2224</v>
      </c>
      <c r="E699" t="s">
        <v>2622</v>
      </c>
      <c r="G699">
        <v>66</v>
      </c>
      <c r="H699" s="16">
        <f>SUM(C699*G699)/100</f>
        <v>17.82</v>
      </c>
      <c r="I699" s="16">
        <f>SUM(C699-H699)</f>
        <v>9.18</v>
      </c>
      <c r="J699">
        <v>22</v>
      </c>
      <c r="K699">
        <v>59</v>
      </c>
      <c r="L699" t="s">
        <v>209</v>
      </c>
    </row>
    <row r="700" spans="1:12">
      <c r="B700" s="46" t="s">
        <v>2623</v>
      </c>
      <c r="C700">
        <v>104</v>
      </c>
      <c r="D700" t="s">
        <v>2224</v>
      </c>
      <c r="E700" t="s">
        <v>2615</v>
      </c>
      <c r="G700">
        <v>47</v>
      </c>
      <c r="H700" s="16">
        <f>SUM(C700*G700)/100</f>
        <v>48.88</v>
      </c>
      <c r="I700" s="16">
        <f>SUM(C700-H700)</f>
        <v>55.12</v>
      </c>
      <c r="L700">
        <v>33.700000000000003</v>
      </c>
    </row>
    <row r="701" spans="1:12">
      <c r="B701" s="46" t="s">
        <v>2624</v>
      </c>
      <c r="C701">
        <v>257</v>
      </c>
      <c r="D701" t="s">
        <v>2224</v>
      </c>
      <c r="E701" t="s">
        <v>2613</v>
      </c>
      <c r="H701">
        <v>257</v>
      </c>
      <c r="L701" t="s">
        <v>209</v>
      </c>
    </row>
    <row r="702" spans="1:12" ht="30">
      <c r="B702" s="46" t="s">
        <v>2625</v>
      </c>
      <c r="C702">
        <v>290</v>
      </c>
      <c r="D702" t="s">
        <v>2224</v>
      </c>
      <c r="E702" t="s">
        <v>2615</v>
      </c>
      <c r="G702">
        <v>45</v>
      </c>
      <c r="H702" s="16">
        <f>SUM(C702*G702)/100</f>
        <v>130.5</v>
      </c>
      <c r="I702" s="16">
        <f>SUM(C702-H702)</f>
        <v>159.5</v>
      </c>
      <c r="L702">
        <v>39.6</v>
      </c>
    </row>
    <row r="703" spans="1:12">
      <c r="B703" s="46" t="s">
        <v>2626</v>
      </c>
      <c r="C703">
        <v>99</v>
      </c>
      <c r="D703" t="s">
        <v>2224</v>
      </c>
      <c r="E703" t="s">
        <v>2615</v>
      </c>
      <c r="H703">
        <v>99</v>
      </c>
      <c r="L703" t="s">
        <v>2627</v>
      </c>
    </row>
    <row r="704" spans="1:12">
      <c r="B704" s="46" t="s">
        <v>2628</v>
      </c>
      <c r="C704">
        <v>189</v>
      </c>
      <c r="D704" t="s">
        <v>2224</v>
      </c>
      <c r="E704" t="s">
        <v>2615</v>
      </c>
      <c r="G704">
        <v>46</v>
      </c>
      <c r="H704" s="16">
        <f>SUM(C704*G704)/100</f>
        <v>86.94</v>
      </c>
      <c r="I704" s="16">
        <f>SUM(C704-H704)</f>
        <v>102.06</v>
      </c>
      <c r="L704">
        <v>38.4</v>
      </c>
    </row>
    <row r="705" spans="1:12">
      <c r="B705" s="46" t="s">
        <v>2629</v>
      </c>
      <c r="C705">
        <v>97</v>
      </c>
      <c r="D705" t="s">
        <v>2224</v>
      </c>
      <c r="E705" t="s">
        <v>2630</v>
      </c>
      <c r="H705">
        <v>97</v>
      </c>
      <c r="L705" t="s">
        <v>2631</v>
      </c>
    </row>
    <row r="706" spans="1:12">
      <c r="B706" s="46" t="s">
        <v>2632</v>
      </c>
      <c r="C706">
        <v>20</v>
      </c>
      <c r="D706" t="s">
        <v>2224</v>
      </c>
      <c r="E706" t="s">
        <v>2615</v>
      </c>
      <c r="I706">
        <v>20</v>
      </c>
      <c r="L706">
        <v>36</v>
      </c>
    </row>
    <row r="707" spans="1:12">
      <c r="C707">
        <f>SUM(C694:C706)</f>
        <v>1863</v>
      </c>
      <c r="H707" s="16">
        <f>SUM(H694:H706)</f>
        <v>1192.8600000000001</v>
      </c>
      <c r="I707" s="16">
        <f>SUM(I694:I706)</f>
        <v>670.13999999999987</v>
      </c>
    </row>
    <row r="708" spans="1:12">
      <c r="I708" t="s">
        <v>714</v>
      </c>
    </row>
    <row r="709" spans="1:12">
      <c r="L709" t="s">
        <v>713</v>
      </c>
    </row>
    <row r="710" spans="1:12">
      <c r="A710" t="s">
        <v>2633</v>
      </c>
    </row>
    <row r="711" spans="1:12">
      <c r="B711" t="s">
        <v>2634</v>
      </c>
      <c r="C711">
        <v>55</v>
      </c>
      <c r="H711" t="s">
        <v>209</v>
      </c>
      <c r="I711" t="s">
        <v>209</v>
      </c>
      <c r="J711" t="s">
        <v>209</v>
      </c>
      <c r="K711" t="s">
        <v>209</v>
      </c>
      <c r="L711" t="s">
        <v>209</v>
      </c>
    </row>
    <row r="712" spans="1:12">
      <c r="B712" t="s">
        <v>2635</v>
      </c>
      <c r="C712">
        <v>20</v>
      </c>
    </row>
    <row r="713" spans="1:12">
      <c r="B713" t="s">
        <v>2636</v>
      </c>
      <c r="C713">
        <v>60</v>
      </c>
    </row>
    <row r="714" spans="1:12">
      <c r="B714" t="s">
        <v>1956</v>
      </c>
      <c r="C714">
        <v>300</v>
      </c>
    </row>
    <row r="715" spans="1:12">
      <c r="B715" t="s">
        <v>2637</v>
      </c>
      <c r="C715">
        <v>62</v>
      </c>
    </row>
    <row r="716" spans="1:12">
      <c r="B716" t="s">
        <v>2638</v>
      </c>
      <c r="C716">
        <v>407</v>
      </c>
    </row>
    <row r="717" spans="1:12">
      <c r="C717">
        <f>SUM(C711:C716)</f>
        <v>904</v>
      </c>
    </row>
    <row r="718" spans="1:12">
      <c r="A718" t="s">
        <v>2639</v>
      </c>
    </row>
    <row r="719" spans="1:12">
      <c r="B719" t="s">
        <v>2640</v>
      </c>
      <c r="C719">
        <v>13</v>
      </c>
      <c r="D719" t="s">
        <v>246</v>
      </c>
    </row>
    <row r="720" spans="1:12">
      <c r="B720" t="s">
        <v>2641</v>
      </c>
      <c r="C720">
        <v>36</v>
      </c>
      <c r="D720" t="s">
        <v>2342</v>
      </c>
    </row>
    <row r="721" spans="1:4">
      <c r="B721" t="s">
        <v>2642</v>
      </c>
      <c r="C721">
        <v>78</v>
      </c>
      <c r="D721" t="s">
        <v>247</v>
      </c>
    </row>
    <row r="722" spans="1:4">
      <c r="B722" t="s">
        <v>2643</v>
      </c>
      <c r="C722">
        <v>20</v>
      </c>
      <c r="D722" t="s">
        <v>247</v>
      </c>
    </row>
    <row r="723" spans="1:4">
      <c r="B723" t="s">
        <v>2644</v>
      </c>
      <c r="C723">
        <v>3</v>
      </c>
      <c r="D723" t="s">
        <v>247</v>
      </c>
    </row>
    <row r="724" spans="1:4">
      <c r="B724" t="s">
        <v>2645</v>
      </c>
      <c r="C724">
        <v>10</v>
      </c>
      <c r="D724" t="s">
        <v>247</v>
      </c>
    </row>
    <row r="725" spans="1:4">
      <c r="C725">
        <f>SUM(C719:C724)</f>
        <v>160</v>
      </c>
    </row>
    <row r="728" spans="1:4">
      <c r="A728" t="s">
        <v>2646</v>
      </c>
    </row>
    <row r="729" spans="1:4">
      <c r="B729" t="s">
        <v>2647</v>
      </c>
    </row>
    <row r="733" spans="1:4">
      <c r="A733" t="s">
        <v>2648</v>
      </c>
      <c r="B733" t="s">
        <v>2649</v>
      </c>
    </row>
    <row r="734" spans="1:4">
      <c r="B734" t="s">
        <v>2650</v>
      </c>
    </row>
    <row r="735" spans="1:4">
      <c r="B735" t="s">
        <v>2651</v>
      </c>
    </row>
    <row r="736" spans="1:4">
      <c r="B736" t="s">
        <v>2652</v>
      </c>
    </row>
    <row r="737" spans="2:2">
      <c r="B737" t="s">
        <v>2653</v>
      </c>
    </row>
    <row r="738" spans="2:2">
      <c r="B738" t="s">
        <v>2654</v>
      </c>
    </row>
    <row r="739" spans="2:2">
      <c r="B739" s="32" t="s">
        <v>2655</v>
      </c>
    </row>
    <row r="740" spans="2:2">
      <c r="B740" t="s">
        <v>2656</v>
      </c>
    </row>
    <row r="741" spans="2:2">
      <c r="B741" t="s">
        <v>2657</v>
      </c>
    </row>
    <row r="742" spans="2:2">
      <c r="B742" t="s">
        <v>2658</v>
      </c>
    </row>
    <row r="743" spans="2:2">
      <c r="B743" t="s">
        <v>2659</v>
      </c>
    </row>
    <row r="744" spans="2:2">
      <c r="B744" t="s">
        <v>2660</v>
      </c>
    </row>
  </sheetData>
  <mergeCells count="2">
    <mergeCell ref="P1:R1"/>
    <mergeCell ref="S1:U1"/>
  </mergeCells>
  <conditionalFormatting sqref="A660">
    <cfRule type="expression" dxfId="21" priority="31">
      <formula>OR(CELL("row")=ROW())</formula>
    </cfRule>
  </conditionalFormatting>
  <conditionalFormatting sqref="A301:A313">
    <cfRule type="containsText" dxfId="20" priority="30" operator="containsText" text="nr">
      <formula>NOT(ISERROR(SEARCH("nr",A301)))</formula>
    </cfRule>
  </conditionalFormatting>
  <conditionalFormatting sqref="A301:A313">
    <cfRule type="containsText" dxfId="19" priority="29" operator="containsText" text="not clear">
      <formula>NOT(ISERROR(SEARCH("not clear",A301)))</formula>
    </cfRule>
  </conditionalFormatting>
  <conditionalFormatting sqref="A301:A313">
    <cfRule type="containsText" dxfId="18" priority="28" operator="containsText" text="not reported">
      <formula>NOT(ISERROR(SEARCH("not reported",A301)))</formula>
    </cfRule>
  </conditionalFormatting>
  <conditionalFormatting sqref="B303">
    <cfRule type="containsText" dxfId="17" priority="27" operator="containsText" text="nr">
      <formula>NOT(ISERROR(SEARCH("nr",B303)))</formula>
    </cfRule>
  </conditionalFormatting>
  <conditionalFormatting sqref="B303">
    <cfRule type="containsText" dxfId="16" priority="26" operator="containsText" text="not clear">
      <formula>NOT(ISERROR(SEARCH("not clear",B303)))</formula>
    </cfRule>
  </conditionalFormatting>
  <conditionalFormatting sqref="B303">
    <cfRule type="containsText" dxfId="15" priority="25" operator="containsText" text="not reported">
      <formula>NOT(ISERROR(SEARCH("not reported",B303)))</formula>
    </cfRule>
  </conditionalFormatting>
  <conditionalFormatting sqref="B304">
    <cfRule type="containsText" dxfId="14" priority="24" operator="containsText" text="nr">
      <formula>NOT(ISERROR(SEARCH("nr",B304)))</formula>
    </cfRule>
  </conditionalFormatting>
  <conditionalFormatting sqref="B304">
    <cfRule type="containsText" dxfId="13" priority="23" operator="containsText" text="not clear">
      <formula>NOT(ISERROR(SEARCH("not clear",B304)))</formula>
    </cfRule>
  </conditionalFormatting>
  <conditionalFormatting sqref="B304">
    <cfRule type="containsText" dxfId="12" priority="22" operator="containsText" text="not reported">
      <formula>NOT(ISERROR(SEARCH("not reported",B304)))</formula>
    </cfRule>
  </conditionalFormatting>
  <conditionalFormatting sqref="A319:A326">
    <cfRule type="containsText" dxfId="11" priority="15" operator="containsText" text="nr">
      <formula>NOT(ISERROR(SEARCH("nr",A319)))</formula>
    </cfRule>
  </conditionalFormatting>
  <conditionalFormatting sqref="A319:A326">
    <cfRule type="containsText" dxfId="10" priority="14" operator="containsText" text="not clear">
      <formula>NOT(ISERROR(SEARCH("not clear",A319)))</formula>
    </cfRule>
  </conditionalFormatting>
  <conditionalFormatting sqref="A319:A326">
    <cfRule type="containsText" dxfId="9" priority="13" operator="containsText" text="not reported">
      <formula>NOT(ISERROR(SEARCH("not reported",A319)))</formula>
    </cfRule>
  </conditionalFormatting>
  <conditionalFormatting sqref="A381:A391">
    <cfRule type="containsText" dxfId="8" priority="12" operator="containsText" text="nr">
      <formula>NOT(ISERROR(SEARCH("nr",A381)))</formula>
    </cfRule>
  </conditionalFormatting>
  <conditionalFormatting sqref="A381:A391">
    <cfRule type="containsText" dxfId="7" priority="11" operator="containsText" text="not clear">
      <formula>NOT(ISERROR(SEARCH("not clear",A381)))</formula>
    </cfRule>
  </conditionalFormatting>
  <conditionalFormatting sqref="A381:A391">
    <cfRule type="containsText" dxfId="6" priority="10" operator="containsText" text="not reported">
      <formula>NOT(ISERROR(SEARCH("not reported",A381)))</formula>
    </cfRule>
  </conditionalFormatting>
  <conditionalFormatting sqref="A412:A422">
    <cfRule type="containsText" dxfId="5" priority="9" operator="containsText" text="nr">
      <formula>NOT(ISERROR(SEARCH("nr",A412)))</formula>
    </cfRule>
  </conditionalFormatting>
  <conditionalFormatting sqref="A412:A422">
    <cfRule type="containsText" dxfId="4" priority="8" operator="containsText" text="not clear">
      <formula>NOT(ISERROR(SEARCH("not clear",A412)))</formula>
    </cfRule>
  </conditionalFormatting>
  <conditionalFormatting sqref="A412:A422">
    <cfRule type="containsText" dxfId="3" priority="7" operator="containsText" text="not reported">
      <formula>NOT(ISERROR(SEARCH("not reported",A412)))</formula>
    </cfRule>
  </conditionalFormatting>
  <conditionalFormatting sqref="A661:A678">
    <cfRule type="containsText" dxfId="2" priority="3" operator="containsText" text="nr">
      <formula>NOT(ISERROR(SEARCH("nr",A661)))</formula>
    </cfRule>
  </conditionalFormatting>
  <conditionalFormatting sqref="A661:A678">
    <cfRule type="containsText" dxfId="1" priority="2" operator="containsText" text="not clear">
      <formula>NOT(ISERROR(SEARCH("not clear",A661)))</formula>
    </cfRule>
  </conditionalFormatting>
  <conditionalFormatting sqref="A661:A678">
    <cfRule type="containsText" dxfId="0" priority="1" operator="containsText" text="not reported">
      <formula>NOT(ISERROR(SEARCH("not reported",A661)))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EF31-5D28-4194-909E-E31126E4FB71}">
  <dimension ref="A1:N40"/>
  <sheetViews>
    <sheetView workbookViewId="0">
      <pane ySplit="1" topLeftCell="A2" activePane="bottomLeft" state="frozen"/>
      <selection pane="bottomLeft" activeCell="A31" sqref="A31"/>
    </sheetView>
  </sheetViews>
  <sheetFormatPr defaultRowHeight="15"/>
  <cols>
    <col min="1" max="1" width="16.140625" customWidth="1"/>
    <col min="2" max="2" width="12.42578125" bestFit="1" customWidth="1"/>
    <col min="5" max="5" width="44.85546875" customWidth="1"/>
    <col min="6" max="6" width="17.85546875" customWidth="1"/>
    <col min="12" max="12" width="55.28515625" customWidth="1"/>
    <col min="13" max="13" width="25.85546875" customWidth="1"/>
  </cols>
  <sheetData>
    <row r="1" spans="3:14" ht="30">
      <c r="C1" s="25"/>
      <c r="D1" s="25"/>
      <c r="E1" s="24" t="s">
        <v>2661</v>
      </c>
      <c r="F1" s="25" t="s">
        <v>2662</v>
      </c>
      <c r="G1" s="25" t="s">
        <v>2663</v>
      </c>
      <c r="H1" s="25" t="s">
        <v>2664</v>
      </c>
      <c r="I1" s="25" t="s">
        <v>2665</v>
      </c>
      <c r="J1" s="25" t="s">
        <v>2666</v>
      </c>
      <c r="K1" s="25" t="s">
        <v>2442</v>
      </c>
      <c r="L1" s="25"/>
      <c r="M1" s="25" t="s">
        <v>2667</v>
      </c>
      <c r="N1" s="25"/>
    </row>
    <row r="2" spans="3:14">
      <c r="C2" s="25"/>
      <c r="D2" s="25">
        <v>2</v>
      </c>
      <c r="E2" s="24" t="s">
        <v>2668</v>
      </c>
      <c r="F2" s="25" t="s">
        <v>2669</v>
      </c>
      <c r="G2" s="25">
        <v>60</v>
      </c>
      <c r="H2" s="25"/>
      <c r="I2" s="25"/>
      <c r="J2" s="25">
        <v>55.84</v>
      </c>
      <c r="K2" s="25" t="s">
        <v>2670</v>
      </c>
      <c r="L2" s="25" t="s">
        <v>2671</v>
      </c>
      <c r="M2" s="25" t="s">
        <v>2672</v>
      </c>
      <c r="N2" s="25"/>
    </row>
    <row r="3" spans="3:14" ht="30">
      <c r="C3" s="25"/>
      <c r="D3" s="25">
        <v>5</v>
      </c>
      <c r="E3" s="24" t="s">
        <v>2673</v>
      </c>
      <c r="F3" s="25" t="s">
        <v>2669</v>
      </c>
      <c r="G3" s="25">
        <v>62</v>
      </c>
      <c r="H3" s="25"/>
      <c r="I3" s="25"/>
      <c r="J3" s="25">
        <v>65</v>
      </c>
      <c r="K3" s="25" t="s">
        <v>2674</v>
      </c>
      <c r="L3" s="25" t="s">
        <v>2333</v>
      </c>
      <c r="M3" s="25" t="s">
        <v>2675</v>
      </c>
      <c r="N3" s="25"/>
    </row>
    <row r="4" spans="3:14" ht="45">
      <c r="C4" s="25"/>
      <c r="D4" s="25">
        <v>7</v>
      </c>
      <c r="E4" s="24" t="s">
        <v>2676</v>
      </c>
      <c r="F4" s="25" t="s">
        <v>2677</v>
      </c>
      <c r="G4" s="25">
        <v>12</v>
      </c>
      <c r="H4" s="25">
        <v>45</v>
      </c>
      <c r="I4" s="25"/>
      <c r="J4" s="25"/>
      <c r="K4" s="25" t="s">
        <v>2670</v>
      </c>
      <c r="L4" s="25" t="s">
        <v>1787</v>
      </c>
      <c r="M4" s="25" t="s">
        <v>2678</v>
      </c>
      <c r="N4" s="25"/>
    </row>
    <row r="5" spans="3:14" ht="30">
      <c r="C5" s="25"/>
      <c r="D5" s="25">
        <v>8</v>
      </c>
      <c r="E5" s="24" t="s">
        <v>2676</v>
      </c>
      <c r="F5" s="25" t="s">
        <v>2669</v>
      </c>
      <c r="G5" s="25">
        <v>24</v>
      </c>
      <c r="H5" s="25"/>
      <c r="I5" s="25"/>
      <c r="J5" s="25">
        <v>57.5</v>
      </c>
      <c r="K5" s="25" t="s">
        <v>2670</v>
      </c>
      <c r="L5" s="25" t="s">
        <v>2679</v>
      </c>
      <c r="M5" s="25" t="s">
        <v>2680</v>
      </c>
      <c r="N5" s="25"/>
    </row>
    <row r="6" spans="3:14">
      <c r="C6" s="25"/>
      <c r="D6" s="25">
        <v>15</v>
      </c>
      <c r="E6" s="24" t="s">
        <v>2681</v>
      </c>
      <c r="F6" s="25" t="s">
        <v>2669</v>
      </c>
      <c r="G6" s="25">
        <v>26</v>
      </c>
      <c r="H6" s="25"/>
      <c r="I6" s="25"/>
      <c r="J6" s="25">
        <v>63</v>
      </c>
      <c r="K6" s="25" t="s">
        <v>2682</v>
      </c>
      <c r="L6" s="25" t="s">
        <v>2683</v>
      </c>
      <c r="M6" s="25" t="s">
        <v>2684</v>
      </c>
      <c r="N6" s="25"/>
    </row>
    <row r="7" spans="3:14" ht="45">
      <c r="C7" s="25"/>
      <c r="D7" s="25">
        <v>16</v>
      </c>
      <c r="E7" s="24" t="s">
        <v>2681</v>
      </c>
      <c r="F7" s="25" t="s">
        <v>2669</v>
      </c>
      <c r="G7" s="25">
        <v>27</v>
      </c>
      <c r="H7" s="25">
        <v>55</v>
      </c>
      <c r="I7" s="25">
        <v>77</v>
      </c>
      <c r="J7" s="25"/>
      <c r="K7" s="25" t="s">
        <v>2670</v>
      </c>
      <c r="L7" s="25" t="s">
        <v>2685</v>
      </c>
      <c r="M7" s="25" t="s">
        <v>2686</v>
      </c>
      <c r="N7" s="25"/>
    </row>
    <row r="8" spans="3:14" ht="45">
      <c r="C8" s="25"/>
      <c r="D8" s="25">
        <v>17</v>
      </c>
      <c r="E8" s="24" t="s">
        <v>2681</v>
      </c>
      <c r="F8" s="25" t="s">
        <v>2669</v>
      </c>
      <c r="G8" s="25">
        <v>22</v>
      </c>
      <c r="H8" s="25">
        <v>54</v>
      </c>
      <c r="I8" s="25">
        <v>66</v>
      </c>
      <c r="J8" s="25"/>
      <c r="K8" s="25" t="s">
        <v>2670</v>
      </c>
      <c r="L8" s="25" t="s">
        <v>2685</v>
      </c>
      <c r="M8" s="25" t="s">
        <v>2687</v>
      </c>
      <c r="N8" s="25"/>
    </row>
    <row r="9" spans="3:14" ht="60">
      <c r="C9" s="25"/>
      <c r="D9" s="25">
        <v>19</v>
      </c>
      <c r="E9" s="24" t="s">
        <v>2676</v>
      </c>
      <c r="F9" s="25" t="s">
        <v>2669</v>
      </c>
      <c r="G9" s="25">
        <v>5</v>
      </c>
      <c r="H9" s="25">
        <v>48</v>
      </c>
      <c r="I9" s="25">
        <v>62</v>
      </c>
      <c r="J9" s="25">
        <v>56.2</v>
      </c>
      <c r="K9" s="25" t="s">
        <v>2670</v>
      </c>
      <c r="L9" s="25" t="s">
        <v>1787</v>
      </c>
      <c r="M9" s="25" t="s">
        <v>2688</v>
      </c>
      <c r="N9" s="1"/>
    </row>
    <row r="10" spans="3:14" ht="45">
      <c r="C10" s="25"/>
      <c r="D10" s="25">
        <v>20</v>
      </c>
      <c r="E10" s="24" t="s">
        <v>2668</v>
      </c>
      <c r="F10" s="25" t="s">
        <v>2669</v>
      </c>
      <c r="G10" s="25">
        <v>5</v>
      </c>
      <c r="H10" s="25">
        <v>55</v>
      </c>
      <c r="I10" s="25">
        <v>63</v>
      </c>
      <c r="J10" s="25"/>
      <c r="K10" s="25" t="s">
        <v>2670</v>
      </c>
      <c r="L10" s="25" t="s">
        <v>2333</v>
      </c>
      <c r="M10" s="25" t="s">
        <v>2689</v>
      </c>
      <c r="N10" s="25"/>
    </row>
    <row r="11" spans="3:14" ht="30">
      <c r="C11" s="25"/>
      <c r="D11" s="25">
        <v>31</v>
      </c>
      <c r="E11" s="24" t="s">
        <v>2668</v>
      </c>
      <c r="F11" s="25" t="s">
        <v>2669</v>
      </c>
      <c r="G11" s="25">
        <v>11</v>
      </c>
      <c r="H11" s="25">
        <v>60</v>
      </c>
      <c r="I11" s="25"/>
      <c r="J11" s="25"/>
      <c r="K11" s="25" t="s">
        <v>2674</v>
      </c>
      <c r="L11" s="25" t="s">
        <v>1787</v>
      </c>
      <c r="M11" s="25" t="s">
        <v>2690</v>
      </c>
      <c r="N11" s="25"/>
    </row>
    <row r="12" spans="3:14" ht="30">
      <c r="C12" s="25"/>
      <c r="D12" s="25">
        <v>34</v>
      </c>
      <c r="E12" s="24" t="s">
        <v>2676</v>
      </c>
      <c r="F12" s="25" t="s">
        <v>2669</v>
      </c>
      <c r="G12" s="25">
        <v>1</v>
      </c>
      <c r="H12" s="25"/>
      <c r="I12" s="25"/>
      <c r="J12" s="25">
        <v>59</v>
      </c>
      <c r="K12" s="25" t="s">
        <v>2691</v>
      </c>
      <c r="L12" s="25" t="s">
        <v>2333</v>
      </c>
      <c r="M12" s="25" t="s">
        <v>2692</v>
      </c>
      <c r="N12" s="25"/>
    </row>
    <row r="13" spans="3:14" ht="60">
      <c r="C13" s="25"/>
      <c r="D13" s="25">
        <v>53</v>
      </c>
      <c r="E13" s="24" t="s">
        <v>2673</v>
      </c>
      <c r="F13" s="25" t="s">
        <v>2669</v>
      </c>
      <c r="G13" s="25">
        <v>1</v>
      </c>
      <c r="H13" s="25"/>
      <c r="I13" s="25"/>
      <c r="J13" s="25">
        <v>68</v>
      </c>
      <c r="K13" s="25" t="s">
        <v>2691</v>
      </c>
      <c r="L13" s="25" t="s">
        <v>2333</v>
      </c>
      <c r="M13" s="25" t="s">
        <v>2693</v>
      </c>
      <c r="N13" s="1"/>
    </row>
    <row r="14" spans="3:14" ht="60">
      <c r="C14" s="25"/>
      <c r="D14" s="25">
        <v>54</v>
      </c>
      <c r="E14" s="24" t="s">
        <v>2676</v>
      </c>
      <c r="F14" s="25" t="s">
        <v>2669</v>
      </c>
      <c r="G14" s="25">
        <v>58</v>
      </c>
      <c r="H14" s="25"/>
      <c r="I14" s="25"/>
      <c r="J14" s="25">
        <v>57.4</v>
      </c>
      <c r="K14" s="25" t="s">
        <v>2670</v>
      </c>
      <c r="L14" s="25" t="s">
        <v>2679</v>
      </c>
      <c r="M14" s="25" t="s">
        <v>2694</v>
      </c>
      <c r="N14" s="1"/>
    </row>
    <row r="15" spans="3:14" ht="45">
      <c r="C15" s="25"/>
      <c r="D15" s="25">
        <v>56</v>
      </c>
      <c r="E15" s="24" t="s">
        <v>2695</v>
      </c>
      <c r="F15" s="25" t="s">
        <v>2669</v>
      </c>
      <c r="G15" s="25">
        <v>2</v>
      </c>
      <c r="H15" s="25"/>
      <c r="I15" s="25"/>
      <c r="J15" s="25"/>
      <c r="K15" s="25" t="s">
        <v>2670</v>
      </c>
      <c r="L15" s="25" t="s">
        <v>2333</v>
      </c>
      <c r="M15" s="25" t="s">
        <v>2696</v>
      </c>
      <c r="N15" s="25"/>
    </row>
    <row r="16" spans="3:14" ht="60">
      <c r="C16" s="25"/>
      <c r="D16" s="25">
        <v>61</v>
      </c>
      <c r="E16" s="24" t="s">
        <v>2681</v>
      </c>
      <c r="F16" s="25" t="s">
        <v>2677</v>
      </c>
      <c r="G16" s="25">
        <v>40</v>
      </c>
      <c r="H16" s="25">
        <v>50</v>
      </c>
      <c r="I16" s="25">
        <v>80</v>
      </c>
      <c r="J16" s="25"/>
      <c r="K16" s="25" t="s">
        <v>2670</v>
      </c>
      <c r="L16" s="25" t="s">
        <v>1787</v>
      </c>
      <c r="M16" s="25" t="s">
        <v>2697</v>
      </c>
      <c r="N16" s="1"/>
    </row>
    <row r="17" spans="1:14" ht="30">
      <c r="C17" s="25"/>
      <c r="D17" s="25">
        <v>62</v>
      </c>
      <c r="E17" s="24" t="s">
        <v>2681</v>
      </c>
      <c r="F17" s="25" t="s">
        <v>2669</v>
      </c>
      <c r="G17" s="25">
        <v>150</v>
      </c>
      <c r="H17" s="25"/>
      <c r="I17" s="25"/>
      <c r="J17" s="25">
        <v>58.2</v>
      </c>
      <c r="K17" s="25" t="s">
        <v>2682</v>
      </c>
      <c r="L17" s="25" t="s">
        <v>2683</v>
      </c>
      <c r="M17" s="25" t="s">
        <v>2698</v>
      </c>
      <c r="N17" s="25"/>
    </row>
    <row r="18" spans="1:14">
      <c r="C18" s="25"/>
      <c r="D18" s="25">
        <v>72</v>
      </c>
      <c r="E18" s="24" t="s">
        <v>2676</v>
      </c>
      <c r="F18" s="25" t="s">
        <v>2669</v>
      </c>
      <c r="G18" s="25">
        <v>14</v>
      </c>
      <c r="H18" s="25"/>
      <c r="I18" s="25"/>
      <c r="J18" s="25"/>
      <c r="K18" s="25" t="s">
        <v>2670</v>
      </c>
      <c r="L18" s="25" t="s">
        <v>1787</v>
      </c>
      <c r="M18" s="25" t="s">
        <v>2699</v>
      </c>
      <c r="N18" s="25"/>
    </row>
    <row r="19" spans="1:14">
      <c r="C19" s="25"/>
      <c r="D19" s="25"/>
      <c r="E19" s="24"/>
      <c r="F19" s="25"/>
      <c r="G19" s="25">
        <v>3713</v>
      </c>
      <c r="H19" s="25"/>
      <c r="I19" s="25"/>
      <c r="J19" s="25"/>
      <c r="K19" s="25"/>
      <c r="L19" s="25"/>
      <c r="M19" s="25"/>
      <c r="N19" s="25"/>
    </row>
    <row r="20" spans="1:14">
      <c r="C20" s="25"/>
      <c r="D20" s="25"/>
      <c r="E20" s="24"/>
      <c r="F20" s="25"/>
      <c r="G20" s="25"/>
      <c r="H20" s="25"/>
      <c r="I20" s="25"/>
      <c r="J20" s="25"/>
      <c r="K20" s="25"/>
      <c r="L20" s="25"/>
      <c r="M20" s="25"/>
      <c r="N20" s="25"/>
    </row>
    <row r="21" spans="1:14">
      <c r="C21" s="25"/>
      <c r="D21" s="25"/>
      <c r="E21" s="24"/>
      <c r="F21" s="25"/>
      <c r="G21" s="25"/>
      <c r="H21" s="25"/>
      <c r="I21" s="25"/>
      <c r="J21" s="25"/>
      <c r="K21" s="25"/>
      <c r="L21" s="25"/>
      <c r="M21" s="25"/>
      <c r="N21" s="25"/>
    </row>
    <row r="22" spans="1:14" ht="30">
      <c r="A22" t="s">
        <v>2700</v>
      </c>
      <c r="B22" t="s">
        <v>2701</v>
      </c>
      <c r="C22" s="25" t="s">
        <v>2702</v>
      </c>
      <c r="D22" s="25">
        <v>2</v>
      </c>
      <c r="E22" s="24" t="s">
        <v>2668</v>
      </c>
      <c r="F22" s="25" t="s">
        <v>2669</v>
      </c>
      <c r="G22" s="25">
        <v>60</v>
      </c>
      <c r="H22" s="25"/>
      <c r="I22" s="25"/>
      <c r="J22" s="25">
        <v>55.84</v>
      </c>
      <c r="K22" s="25" t="s">
        <v>2670</v>
      </c>
      <c r="L22" s="25" t="s">
        <v>2671</v>
      </c>
      <c r="M22" s="25" t="s">
        <v>2672</v>
      </c>
      <c r="N22" s="25"/>
    </row>
    <row r="23" spans="1:14" ht="30">
      <c r="A23" t="s">
        <v>2700</v>
      </c>
      <c r="B23" t="s">
        <v>2703</v>
      </c>
      <c r="C23" s="26" t="s">
        <v>1874</v>
      </c>
      <c r="D23" s="25">
        <v>5</v>
      </c>
      <c r="E23" s="24" t="s">
        <v>2673</v>
      </c>
      <c r="F23" s="25" t="s">
        <v>2669</v>
      </c>
      <c r="G23" s="25">
        <v>62</v>
      </c>
      <c r="H23" s="25"/>
      <c r="I23" s="25"/>
      <c r="J23" s="25">
        <v>65</v>
      </c>
      <c r="K23" s="25" t="s">
        <v>2674</v>
      </c>
      <c r="L23" s="25" t="s">
        <v>2333</v>
      </c>
      <c r="M23" s="25" t="s">
        <v>2675</v>
      </c>
      <c r="N23" s="25"/>
    </row>
    <row r="24" spans="1:14" ht="45">
      <c r="A24" t="s">
        <v>2700</v>
      </c>
      <c r="B24" t="s">
        <v>2704</v>
      </c>
      <c r="C24" s="26" t="s">
        <v>1874</v>
      </c>
      <c r="D24" s="25">
        <v>7</v>
      </c>
      <c r="E24" s="24" t="s">
        <v>2676</v>
      </c>
      <c r="F24" s="25" t="s">
        <v>2677</v>
      </c>
      <c r="G24" s="25">
        <v>12</v>
      </c>
      <c r="H24" s="25">
        <v>45</v>
      </c>
      <c r="I24" s="25"/>
      <c r="J24" s="25"/>
      <c r="K24" s="25" t="s">
        <v>2670</v>
      </c>
      <c r="L24" s="25" t="s">
        <v>1787</v>
      </c>
      <c r="M24" s="25" t="s">
        <v>2678</v>
      </c>
      <c r="N24" s="25"/>
    </row>
    <row r="25" spans="1:14" ht="30">
      <c r="A25" t="s">
        <v>2700</v>
      </c>
      <c r="B25" t="s">
        <v>2705</v>
      </c>
      <c r="C25" s="26" t="s">
        <v>1874</v>
      </c>
      <c r="D25" s="25">
        <v>8</v>
      </c>
      <c r="E25" s="24" t="s">
        <v>2676</v>
      </c>
      <c r="F25" s="25" t="s">
        <v>2669</v>
      </c>
      <c r="G25" s="25">
        <v>24</v>
      </c>
      <c r="H25" s="25"/>
      <c r="I25" s="25"/>
      <c r="J25" s="25">
        <v>57.5</v>
      </c>
      <c r="K25" s="25" t="s">
        <v>2670</v>
      </c>
      <c r="L25" s="25" t="s">
        <v>2679</v>
      </c>
      <c r="M25" s="25" t="s">
        <v>2680</v>
      </c>
      <c r="N25" s="25"/>
    </row>
    <row r="26" spans="1:14">
      <c r="A26" t="s">
        <v>2700</v>
      </c>
      <c r="B26" t="s">
        <v>2706</v>
      </c>
      <c r="C26" s="25" t="s">
        <v>2240</v>
      </c>
      <c r="D26" s="25">
        <v>15</v>
      </c>
      <c r="E26" s="24" t="s">
        <v>2681</v>
      </c>
      <c r="F26" s="25" t="s">
        <v>2669</v>
      </c>
      <c r="G26" s="25">
        <v>26</v>
      </c>
      <c r="H26" s="25"/>
      <c r="I26" s="25"/>
      <c r="J26" s="25">
        <v>63</v>
      </c>
      <c r="K26" s="28" t="s">
        <v>2682</v>
      </c>
      <c r="L26" s="25" t="s">
        <v>2683</v>
      </c>
      <c r="M26" s="25" t="s">
        <v>2684</v>
      </c>
      <c r="N26" s="25"/>
    </row>
    <row r="27" spans="1:14" ht="45">
      <c r="A27" t="s">
        <v>2700</v>
      </c>
      <c r="B27" t="s">
        <v>2707</v>
      </c>
      <c r="C27" s="25" t="s">
        <v>2240</v>
      </c>
      <c r="D27" s="25">
        <v>16</v>
      </c>
      <c r="E27" s="24" t="s">
        <v>2681</v>
      </c>
      <c r="F27" s="25" t="s">
        <v>2669</v>
      </c>
      <c r="G27" s="25">
        <v>27</v>
      </c>
      <c r="H27" s="25">
        <v>55</v>
      </c>
      <c r="I27" s="25">
        <v>77</v>
      </c>
      <c r="J27" s="25">
        <v>66</v>
      </c>
      <c r="K27" s="25" t="s">
        <v>2670</v>
      </c>
      <c r="L27" s="25" t="s">
        <v>2685</v>
      </c>
      <c r="M27" s="25" t="s">
        <v>2686</v>
      </c>
      <c r="N27" s="25"/>
    </row>
    <row r="28" spans="1:14" ht="45">
      <c r="A28" t="s">
        <v>2700</v>
      </c>
      <c r="B28" t="s">
        <v>2708</v>
      </c>
      <c r="C28" s="25" t="s">
        <v>2240</v>
      </c>
      <c r="D28" s="25">
        <v>17</v>
      </c>
      <c r="E28" s="24" t="s">
        <v>2681</v>
      </c>
      <c r="F28" s="25" t="s">
        <v>2669</v>
      </c>
      <c r="G28" s="25">
        <v>22</v>
      </c>
      <c r="H28" s="25">
        <v>54</v>
      </c>
      <c r="I28" s="25">
        <v>66</v>
      </c>
      <c r="J28" s="25">
        <v>60</v>
      </c>
      <c r="K28" s="25" t="s">
        <v>2670</v>
      </c>
      <c r="L28" s="25" t="s">
        <v>2685</v>
      </c>
      <c r="M28" s="25" t="s">
        <v>2687</v>
      </c>
      <c r="N28" s="25"/>
    </row>
    <row r="29" spans="1:14">
      <c r="A29" t="s">
        <v>2700</v>
      </c>
      <c r="B29" t="s">
        <v>2298</v>
      </c>
      <c r="C29" s="25" t="s">
        <v>2240</v>
      </c>
      <c r="D29" s="25">
        <v>18</v>
      </c>
      <c r="E29" s="24" t="s">
        <v>2681</v>
      </c>
      <c r="F29" s="25" t="s">
        <v>2669</v>
      </c>
      <c r="G29" s="25">
        <v>60</v>
      </c>
      <c r="H29" s="25">
        <v>47</v>
      </c>
      <c r="I29" s="25">
        <v>67</v>
      </c>
      <c r="J29" s="25">
        <v>56.5</v>
      </c>
      <c r="K29" s="25" t="s">
        <v>2670</v>
      </c>
      <c r="L29" s="25" t="s">
        <v>2685</v>
      </c>
      <c r="M29" s="25" t="s">
        <v>2709</v>
      </c>
      <c r="N29" s="25"/>
    </row>
    <row r="30" spans="1:14" ht="60">
      <c r="A30" t="s">
        <v>2700</v>
      </c>
      <c r="B30" t="s">
        <v>2710</v>
      </c>
      <c r="C30" s="26" t="s">
        <v>1874</v>
      </c>
      <c r="D30" s="25">
        <v>19</v>
      </c>
      <c r="E30" s="24" t="s">
        <v>2676</v>
      </c>
      <c r="F30" s="25" t="s">
        <v>2669</v>
      </c>
      <c r="G30" s="25">
        <v>5</v>
      </c>
      <c r="H30" s="25">
        <v>48</v>
      </c>
      <c r="I30" s="25">
        <v>62</v>
      </c>
      <c r="J30" s="25">
        <v>56.2</v>
      </c>
      <c r="K30" s="25" t="s">
        <v>2670</v>
      </c>
      <c r="L30" s="25" t="s">
        <v>1787</v>
      </c>
      <c r="M30" s="25" t="s">
        <v>2688</v>
      </c>
      <c r="N30" s="1"/>
    </row>
    <row r="31" spans="1:14" ht="30">
      <c r="A31" t="s">
        <v>2700</v>
      </c>
      <c r="B31" t="s">
        <v>2711</v>
      </c>
      <c r="C31" s="27" t="s">
        <v>2503</v>
      </c>
      <c r="D31" s="25">
        <v>31</v>
      </c>
      <c r="E31" s="24" t="s">
        <v>2668</v>
      </c>
      <c r="F31" s="25" t="s">
        <v>2669</v>
      </c>
      <c r="G31" s="25">
        <v>11</v>
      </c>
      <c r="H31" s="25">
        <v>60</v>
      </c>
      <c r="I31" s="25"/>
      <c r="J31" s="25"/>
      <c r="K31" s="25" t="s">
        <v>2674</v>
      </c>
      <c r="L31" s="25" t="s">
        <v>1787</v>
      </c>
      <c r="M31" s="25" t="s">
        <v>2690</v>
      </c>
      <c r="N31" s="25"/>
    </row>
    <row r="32" spans="1:14" ht="60">
      <c r="A32" t="s">
        <v>2700</v>
      </c>
      <c r="B32" t="s">
        <v>2712</v>
      </c>
      <c r="C32" s="27" t="s">
        <v>2503</v>
      </c>
      <c r="D32" s="25">
        <v>53</v>
      </c>
      <c r="E32" s="24" t="s">
        <v>2673</v>
      </c>
      <c r="F32" s="25" t="s">
        <v>2669</v>
      </c>
      <c r="G32" s="25">
        <v>1</v>
      </c>
      <c r="H32" s="25"/>
      <c r="I32" s="25"/>
      <c r="J32" s="25">
        <v>68</v>
      </c>
      <c r="K32" s="25" t="s">
        <v>2691</v>
      </c>
      <c r="L32" s="25" t="s">
        <v>2333</v>
      </c>
      <c r="M32" s="25" t="s">
        <v>2693</v>
      </c>
      <c r="N32" s="1"/>
    </row>
    <row r="33" spans="1:14" ht="60">
      <c r="A33" t="s">
        <v>2700</v>
      </c>
      <c r="B33" t="s">
        <v>2713</v>
      </c>
      <c r="C33" s="26" t="s">
        <v>1874</v>
      </c>
      <c r="D33" s="25">
        <v>54</v>
      </c>
      <c r="E33" s="24" t="s">
        <v>2676</v>
      </c>
      <c r="F33" s="25" t="s">
        <v>2669</v>
      </c>
      <c r="G33" s="25">
        <v>58</v>
      </c>
      <c r="H33" s="25"/>
      <c r="I33" s="25"/>
      <c r="J33" s="25">
        <v>57.4</v>
      </c>
      <c r="K33" s="25" t="s">
        <v>2670</v>
      </c>
      <c r="L33" s="25" t="s">
        <v>2679</v>
      </c>
      <c r="M33" s="25" t="s">
        <v>2694</v>
      </c>
      <c r="N33" s="1"/>
    </row>
    <row r="34" spans="1:14" ht="45">
      <c r="B34" t="s">
        <v>2714</v>
      </c>
      <c r="C34" s="25" t="s">
        <v>2224</v>
      </c>
      <c r="D34" s="25">
        <v>56</v>
      </c>
      <c r="E34" s="24" t="s">
        <v>2695</v>
      </c>
      <c r="F34" s="25" t="s">
        <v>2669</v>
      </c>
      <c r="G34" s="25">
        <v>2</v>
      </c>
      <c r="H34" s="25"/>
      <c r="I34" s="25"/>
      <c r="J34" s="25"/>
      <c r="K34" s="25" t="s">
        <v>2670</v>
      </c>
      <c r="L34" s="25" t="s">
        <v>2333</v>
      </c>
      <c r="M34" s="25" t="s">
        <v>2696</v>
      </c>
      <c r="N34" s="25"/>
    </row>
    <row r="35" spans="1:14" ht="60">
      <c r="A35" t="s">
        <v>2700</v>
      </c>
      <c r="B35" t="s">
        <v>2715</v>
      </c>
      <c r="C35" s="27" t="s">
        <v>1861</v>
      </c>
      <c r="D35" s="25">
        <v>61</v>
      </c>
      <c r="E35" s="24" t="s">
        <v>2681</v>
      </c>
      <c r="F35" s="25" t="s">
        <v>2677</v>
      </c>
      <c r="G35" s="25">
        <v>40</v>
      </c>
      <c r="H35" s="25">
        <v>50</v>
      </c>
      <c r="I35" s="25">
        <v>80</v>
      </c>
      <c r="J35" s="25">
        <v>65</v>
      </c>
      <c r="K35" s="25" t="s">
        <v>2670</v>
      </c>
      <c r="L35" s="25" t="s">
        <v>1787</v>
      </c>
      <c r="M35" s="25" t="s">
        <v>2697</v>
      </c>
      <c r="N35" s="1"/>
    </row>
    <row r="36" spans="1:14" ht="30">
      <c r="A36" t="s">
        <v>2700</v>
      </c>
      <c r="B36" t="s">
        <v>2716</v>
      </c>
      <c r="C36" s="27" t="s">
        <v>1861</v>
      </c>
      <c r="D36" s="25">
        <v>62</v>
      </c>
      <c r="E36" s="24" t="s">
        <v>2681</v>
      </c>
      <c r="F36" s="25" t="s">
        <v>2669</v>
      </c>
      <c r="G36" s="25">
        <v>150</v>
      </c>
      <c r="H36" s="25"/>
      <c r="I36" s="25"/>
      <c r="J36" s="25">
        <v>58.2</v>
      </c>
      <c r="K36" s="28" t="s">
        <v>2682</v>
      </c>
      <c r="L36" s="25" t="s">
        <v>2683</v>
      </c>
      <c r="M36" s="25" t="s">
        <v>2698</v>
      </c>
      <c r="N36" s="25"/>
    </row>
    <row r="37" spans="1:14">
      <c r="A37" t="s">
        <v>2700</v>
      </c>
      <c r="B37" t="s">
        <v>2717</v>
      </c>
      <c r="C37" s="26" t="s">
        <v>1874</v>
      </c>
      <c r="D37" s="25">
        <v>72</v>
      </c>
      <c r="E37" s="24" t="s">
        <v>2676</v>
      </c>
      <c r="F37" s="25" t="s">
        <v>2669</v>
      </c>
      <c r="G37" s="25">
        <v>14</v>
      </c>
      <c r="H37" s="25"/>
      <c r="I37" s="25"/>
      <c r="J37" s="25">
        <v>57.5</v>
      </c>
      <c r="K37" s="25" t="s">
        <v>2670</v>
      </c>
      <c r="L37" s="25" t="s">
        <v>1787</v>
      </c>
      <c r="M37" s="25" t="s">
        <v>2699</v>
      </c>
      <c r="N37" s="25"/>
    </row>
    <row r="38" spans="1:14">
      <c r="C38" s="25"/>
      <c r="D38" s="25"/>
      <c r="E38" s="24"/>
      <c r="F38" s="25"/>
      <c r="G38" s="25">
        <v>520</v>
      </c>
      <c r="H38" s="25"/>
      <c r="I38" s="25" t="s">
        <v>1684</v>
      </c>
      <c r="J38" s="25"/>
      <c r="K38" s="25"/>
      <c r="L38" s="25"/>
      <c r="M38" s="25"/>
      <c r="N38" s="25"/>
    </row>
    <row r="39" spans="1:14">
      <c r="C39" s="25"/>
      <c r="D39" s="25"/>
      <c r="E39" s="24"/>
      <c r="F39" s="25"/>
      <c r="G39" s="25"/>
      <c r="H39" s="25"/>
      <c r="I39" s="25" t="s">
        <v>1685</v>
      </c>
      <c r="J39" s="25">
        <v>55.84</v>
      </c>
      <c r="K39" s="25"/>
      <c r="L39" s="25"/>
      <c r="M39" s="25"/>
      <c r="N39" s="25"/>
    </row>
    <row r="40" spans="1:14">
      <c r="C40" s="25"/>
      <c r="D40" s="25"/>
      <c r="E40" s="24"/>
      <c r="F40" s="25"/>
      <c r="G40" s="25"/>
      <c r="H40" s="25"/>
      <c r="I40" s="25"/>
      <c r="J40" s="25">
        <v>68</v>
      </c>
      <c r="K40" s="25"/>
      <c r="L40" s="25"/>
      <c r="M40" s="25"/>
      <c r="N40" s="25"/>
    </row>
  </sheetData>
  <sortState xmlns:xlrd2="http://schemas.microsoft.com/office/spreadsheetml/2017/richdata2" ref="B22:M40">
    <sortCondition ref="D22:D40"/>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3D09C9489BCF4CBDCB69CB74A9833E" ma:contentTypeVersion="16" ma:contentTypeDescription="Create a new document." ma:contentTypeScope="" ma:versionID="e1bc39048c9c70bb4a899fc48b882d8e">
  <xsd:schema xmlns:xsd="http://www.w3.org/2001/XMLSchema" xmlns:xs="http://www.w3.org/2001/XMLSchema" xmlns:p="http://schemas.microsoft.com/office/2006/metadata/properties" xmlns:ns2="62e6d7e0-8f69-4736-9de7-41af03e42ea2" xmlns:ns3="a2598ba4-4db0-4ba6-86e6-e93586821996" targetNamespace="http://schemas.microsoft.com/office/2006/metadata/properties" ma:root="true" ma:fieldsID="3a544812fe67e78f5b33aac35107caef" ns2:_="" ns3:_="">
    <xsd:import namespace="62e6d7e0-8f69-4736-9de7-41af03e42ea2"/>
    <xsd:import namespace="a2598ba4-4db0-4ba6-86e6-e935868219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e6d7e0-8f69-4736-9de7-41af03e42e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2598ba4-4db0-4ba6-86e6-e935868219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42aafc-e1ad-46b6-aea3-adb95c9b12ea}" ma:internalName="TaxCatchAll" ma:showField="CatchAllData" ma:web="a2598ba4-4db0-4ba6-86e6-e935868219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e6d7e0-8f69-4736-9de7-41af03e42ea2">
      <Terms xmlns="http://schemas.microsoft.com/office/infopath/2007/PartnerControls"/>
    </lcf76f155ced4ddcb4097134ff3c332f>
    <TaxCatchAll xmlns="a2598ba4-4db0-4ba6-86e6-e93586821996" xsi:nil="true"/>
  </documentManagement>
</p:properties>
</file>

<file path=customXml/itemProps1.xml><?xml version="1.0" encoding="utf-8"?>
<ds:datastoreItem xmlns:ds="http://schemas.openxmlformats.org/officeDocument/2006/customXml" ds:itemID="{0AAA8C02-EAC3-4E86-941A-B1E0AFBFD7F1}"/>
</file>

<file path=customXml/itemProps2.xml><?xml version="1.0" encoding="utf-8"?>
<ds:datastoreItem xmlns:ds="http://schemas.openxmlformats.org/officeDocument/2006/customXml" ds:itemID="{5A7A74E5-5801-43F1-9191-696C60D39659}"/>
</file>

<file path=customXml/itemProps3.xml><?xml version="1.0" encoding="utf-8"?>
<ds:datastoreItem xmlns:ds="http://schemas.openxmlformats.org/officeDocument/2006/customXml" ds:itemID="{7C7014AC-1240-4D65-94F6-9C63799DE45D}"/>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Giummarra, Melita J</dc:creator>
  <cp:keywords/>
  <dc:description/>
  <cp:lastModifiedBy>Guest User</cp:lastModifiedBy>
  <cp:revision/>
  <dcterms:created xsi:type="dcterms:W3CDTF">2021-03-02T23:53:22Z</dcterms:created>
  <dcterms:modified xsi:type="dcterms:W3CDTF">2022-04-21T05:45:48Z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0x010100DD3D09C9489BCF4CBDCB69CB74A9833E</vt:lpwstr>
  </property>
</Properties>
</file>