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dosnm\Dropbox (VDOSNM)\ML's Stuff\Residency\Publications, Case Report, Research Project\AA USE - For Dr. Rao\Final Folder\Revisions based on Review 2\"/>
    </mc:Choice>
  </mc:AlternateContent>
  <xr:revisionPtr revIDLastSave="0" documentId="13_ncr:1_{37FAB02B-EC1B-483D-85F2-808B4A202FFB}" xr6:coauthVersionLast="47" xr6:coauthVersionMax="47" xr10:uidLastSave="{00000000-0000-0000-0000-000000000000}"/>
  <bookViews>
    <workbookView xWindow="-108" yWindow="-108" windowWidth="23256" windowHeight="13896" activeTab="1" xr2:uid="{7862674A-7AE6-4324-870F-33952C9DD18C}"/>
  </bookViews>
  <sheets>
    <sheet name="Mesocephlic" sheetId="4" r:id="rId1"/>
    <sheet name="Brachycephalic" sheetId="5" r:id="rId2"/>
    <sheet name="Dolichocephalic" sheetId="6" r:id="rId3"/>
    <sheet name="Legend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1" i="4" l="1"/>
  <c r="T31" i="4"/>
  <c r="O24" i="4"/>
  <c r="M24" i="4"/>
  <c r="T21" i="4"/>
  <c r="AG21" i="5" l="1"/>
  <c r="AF21" i="5"/>
  <c r="AD21" i="5"/>
  <c r="AC21" i="5"/>
  <c r="AA21" i="5"/>
  <c r="Z21" i="5"/>
  <c r="X21" i="5"/>
  <c r="W21" i="5"/>
  <c r="U21" i="5"/>
  <c r="T21" i="5"/>
  <c r="S21" i="5"/>
  <c r="Q21" i="5"/>
  <c r="X20" i="5"/>
  <c r="W20" i="5"/>
  <c r="U20" i="5"/>
  <c r="T20" i="5"/>
  <c r="AG40" i="5"/>
  <c r="AF40" i="5"/>
  <c r="AG39" i="5" l="1"/>
  <c r="AF39" i="5"/>
  <c r="X39" i="5"/>
  <c r="W39" i="5"/>
  <c r="U39" i="5"/>
  <c r="T39" i="5"/>
  <c r="O39" i="5"/>
  <c r="M39" i="5"/>
  <c r="AG38" i="5"/>
  <c r="AF38" i="5"/>
  <c r="X38" i="5"/>
  <c r="W38" i="5"/>
  <c r="U38" i="5"/>
  <c r="T38" i="5"/>
  <c r="O38" i="5"/>
  <c r="M38" i="5"/>
  <c r="AG37" i="5"/>
  <c r="AF37" i="5"/>
  <c r="X37" i="5"/>
  <c r="W37" i="5"/>
  <c r="U37" i="5"/>
  <c r="T37" i="5"/>
  <c r="O37" i="5"/>
  <c r="M37" i="5"/>
  <c r="AG36" i="5"/>
  <c r="AF36" i="5"/>
  <c r="X36" i="5"/>
  <c r="W36" i="5"/>
  <c r="U36" i="5"/>
  <c r="T36" i="5"/>
  <c r="S36" i="5"/>
  <c r="Q36" i="5"/>
  <c r="M36" i="5"/>
  <c r="O36" i="5"/>
  <c r="AG35" i="5"/>
  <c r="AF35" i="5"/>
  <c r="AD35" i="5"/>
  <c r="AC35" i="5"/>
  <c r="AA35" i="5"/>
  <c r="Z35" i="5"/>
  <c r="X35" i="5"/>
  <c r="W35" i="5"/>
  <c r="U35" i="5"/>
  <c r="T35" i="5"/>
  <c r="S35" i="5"/>
  <c r="Q35" i="5"/>
  <c r="O35" i="5"/>
  <c r="M35" i="5"/>
  <c r="AG34" i="5"/>
  <c r="AF34" i="5"/>
  <c r="AG33" i="5"/>
  <c r="AF33" i="5"/>
  <c r="X33" i="5"/>
  <c r="W33" i="5"/>
  <c r="U33" i="5"/>
  <c r="T33" i="5"/>
  <c r="O33" i="5"/>
  <c r="M33" i="5"/>
  <c r="AG32" i="5"/>
  <c r="AF32" i="5"/>
  <c r="X32" i="5"/>
  <c r="W32" i="5"/>
  <c r="U32" i="5"/>
  <c r="T32" i="5"/>
  <c r="S32" i="5"/>
  <c r="Q32" i="5"/>
  <c r="O32" i="5"/>
  <c r="M32" i="5"/>
  <c r="AF31" i="5"/>
  <c r="X31" i="5"/>
  <c r="W31" i="5"/>
  <c r="U31" i="5"/>
  <c r="T31" i="5"/>
  <c r="O31" i="5"/>
  <c r="M31" i="5"/>
  <c r="AG30" i="5"/>
  <c r="AF30" i="5"/>
  <c r="X30" i="5"/>
  <c r="W30" i="5"/>
  <c r="U30" i="5"/>
  <c r="T30" i="5"/>
  <c r="O30" i="5"/>
  <c r="M30" i="5"/>
  <c r="AG29" i="5"/>
  <c r="AF29" i="5"/>
  <c r="X29" i="5"/>
  <c r="W29" i="5"/>
  <c r="U29" i="5"/>
  <c r="T29" i="5"/>
  <c r="O29" i="5"/>
  <c r="M29" i="5"/>
  <c r="AG28" i="5"/>
  <c r="AF28" i="5"/>
  <c r="X28" i="5"/>
  <c r="W28" i="5"/>
  <c r="U28" i="5"/>
  <c r="T28" i="5"/>
  <c r="O28" i="5"/>
  <c r="M28" i="5"/>
  <c r="AG27" i="5"/>
  <c r="AF27" i="5"/>
  <c r="X27" i="5"/>
  <c r="W27" i="5"/>
  <c r="U27" i="5"/>
  <c r="T27" i="5"/>
  <c r="S27" i="5"/>
  <c r="Q27" i="5"/>
  <c r="O27" i="5"/>
  <c r="M27" i="5"/>
  <c r="AG26" i="5"/>
  <c r="AF26" i="5"/>
  <c r="X26" i="5"/>
  <c r="W26" i="5"/>
  <c r="U26" i="5"/>
  <c r="T26" i="5"/>
  <c r="S26" i="5"/>
  <c r="Q26" i="5"/>
  <c r="O26" i="5"/>
  <c r="M26" i="5"/>
  <c r="AF25" i="5"/>
  <c r="X25" i="5"/>
  <c r="W25" i="5"/>
  <c r="U25" i="5"/>
  <c r="T25" i="5"/>
  <c r="O25" i="5"/>
  <c r="M25" i="5"/>
  <c r="AG24" i="5"/>
  <c r="AF24" i="5"/>
  <c r="AD24" i="5"/>
  <c r="AC24" i="5"/>
  <c r="AA24" i="5"/>
  <c r="Z24" i="5"/>
  <c r="X24" i="5"/>
  <c r="W24" i="5"/>
  <c r="U24" i="5"/>
  <c r="T24" i="5"/>
  <c r="S24" i="5"/>
  <c r="Q24" i="5"/>
  <c r="O24" i="5"/>
  <c r="M24" i="5"/>
  <c r="AG23" i="5"/>
  <c r="AF23" i="5"/>
  <c r="AD23" i="5"/>
  <c r="AC23" i="5"/>
  <c r="AA23" i="5"/>
  <c r="Z23" i="5"/>
  <c r="X23" i="5"/>
  <c r="W23" i="5"/>
  <c r="U23" i="5"/>
  <c r="T23" i="5"/>
  <c r="S23" i="5"/>
  <c r="Q23" i="5"/>
  <c r="O23" i="5"/>
  <c r="M23" i="5"/>
  <c r="AG41" i="5"/>
  <c r="AF41" i="5"/>
  <c r="X41" i="5"/>
  <c r="W41" i="5"/>
  <c r="U41" i="5"/>
  <c r="T41" i="5"/>
  <c r="O41" i="5"/>
  <c r="M41" i="5"/>
  <c r="X40" i="5"/>
  <c r="W40" i="5"/>
  <c r="U40" i="5"/>
  <c r="T40" i="5"/>
  <c r="O40" i="5"/>
  <c r="M40" i="5"/>
  <c r="AG22" i="5"/>
  <c r="AF22" i="5"/>
  <c r="O22" i="5"/>
  <c r="M22" i="5"/>
  <c r="M21" i="5"/>
  <c r="O21" i="5"/>
  <c r="AG20" i="5"/>
  <c r="AF20" i="5"/>
  <c r="O20" i="5"/>
  <c r="M20" i="5"/>
  <c r="AG18" i="5" l="1"/>
  <c r="AF18" i="5"/>
  <c r="AG19" i="5"/>
  <c r="AF19" i="5"/>
  <c r="O19" i="5"/>
  <c r="M19" i="5"/>
  <c r="AG17" i="5"/>
  <c r="AF17" i="5"/>
  <c r="X17" i="5"/>
  <c r="W17" i="5"/>
  <c r="U17" i="5"/>
  <c r="T17" i="5"/>
  <c r="O17" i="5"/>
  <c r="M17" i="5"/>
  <c r="AG16" i="5"/>
  <c r="AF16" i="5"/>
  <c r="X16" i="5"/>
  <c r="W16" i="5"/>
  <c r="U16" i="5"/>
  <c r="T16" i="5"/>
  <c r="O16" i="5"/>
  <c r="M16" i="5"/>
  <c r="AG15" i="5"/>
  <c r="AF15" i="5"/>
  <c r="X15" i="5"/>
  <c r="W15" i="5"/>
  <c r="U15" i="5"/>
  <c r="T15" i="5"/>
  <c r="AG14" i="5"/>
  <c r="AF14" i="5"/>
  <c r="AD14" i="5"/>
  <c r="AC14" i="5"/>
  <c r="AA14" i="5"/>
  <c r="Z14" i="5"/>
  <c r="X14" i="5"/>
  <c r="W14" i="5"/>
  <c r="U14" i="5"/>
  <c r="T14" i="5"/>
  <c r="O15" i="5"/>
  <c r="M15" i="5"/>
  <c r="S14" i="5"/>
  <c r="Q14" i="5"/>
  <c r="O14" i="5"/>
  <c r="M14" i="5"/>
  <c r="AG13" i="5"/>
  <c r="AF13" i="5"/>
  <c r="X13" i="5"/>
  <c r="W13" i="5"/>
  <c r="U13" i="5"/>
  <c r="T13" i="5"/>
  <c r="O13" i="5"/>
  <c r="M13" i="5"/>
  <c r="AG12" i="5"/>
  <c r="AF12" i="5"/>
  <c r="X12" i="5"/>
  <c r="W12" i="5"/>
  <c r="U12" i="5"/>
  <c r="T12" i="5"/>
  <c r="O12" i="5"/>
  <c r="M12" i="5"/>
  <c r="AG11" i="5"/>
  <c r="AF11" i="5"/>
  <c r="AD11" i="5"/>
  <c r="AC11" i="5"/>
  <c r="AA11" i="5"/>
  <c r="Z11" i="5"/>
  <c r="X11" i="5"/>
  <c r="W11" i="5"/>
  <c r="U11" i="5"/>
  <c r="T11" i="5"/>
  <c r="S11" i="5"/>
  <c r="Q11" i="5"/>
  <c r="O11" i="5"/>
  <c r="M11" i="5"/>
  <c r="AG10" i="5"/>
  <c r="AF10" i="5"/>
  <c r="X10" i="5"/>
  <c r="W10" i="5"/>
  <c r="U10" i="5"/>
  <c r="T10" i="5"/>
  <c r="O10" i="5"/>
  <c r="M10" i="5"/>
  <c r="AG9" i="5"/>
  <c r="AF9" i="5"/>
  <c r="X9" i="5"/>
  <c r="W9" i="5"/>
  <c r="U9" i="5"/>
  <c r="T9" i="5"/>
  <c r="O9" i="5"/>
  <c r="M9" i="5"/>
  <c r="AG8" i="5"/>
  <c r="AF8" i="5"/>
  <c r="X8" i="5"/>
  <c r="W8" i="5"/>
  <c r="U8" i="5"/>
  <c r="T8" i="5"/>
  <c r="S8" i="5"/>
  <c r="Q8" i="5"/>
  <c r="O8" i="5"/>
  <c r="M8" i="5"/>
  <c r="AG7" i="5"/>
  <c r="AF7" i="5"/>
  <c r="X7" i="5"/>
  <c r="W7" i="5"/>
  <c r="U7" i="5"/>
  <c r="T7" i="5"/>
  <c r="O7" i="5"/>
  <c r="M7" i="5"/>
  <c r="AG6" i="5"/>
  <c r="AF6" i="5"/>
  <c r="AD6" i="5"/>
  <c r="AC6" i="5"/>
  <c r="AB6" i="5"/>
  <c r="AA6" i="5"/>
  <c r="Z6" i="5"/>
  <c r="X6" i="5"/>
  <c r="W6" i="5"/>
  <c r="U6" i="5"/>
  <c r="T6" i="5"/>
  <c r="S6" i="5"/>
  <c r="Q6" i="5"/>
  <c r="O6" i="5"/>
  <c r="M6" i="5"/>
  <c r="AG5" i="5"/>
  <c r="AF5" i="5"/>
  <c r="X5" i="5"/>
  <c r="W5" i="5"/>
  <c r="U5" i="5"/>
  <c r="T5" i="5"/>
  <c r="S5" i="5"/>
  <c r="Q5" i="5"/>
  <c r="O5" i="5"/>
  <c r="M5" i="5"/>
  <c r="AG4" i="5" l="1"/>
  <c r="AF4" i="5"/>
  <c r="AD4" i="5"/>
  <c r="AC4" i="5"/>
  <c r="AE4" i="5" s="1"/>
  <c r="AA4" i="5"/>
  <c r="Z4" i="5"/>
  <c r="AB4" i="5" s="1"/>
  <c r="X4" i="5"/>
  <c r="W4" i="5"/>
  <c r="U4" i="5"/>
  <c r="T4" i="5"/>
  <c r="S4" i="5"/>
  <c r="Q4" i="5"/>
  <c r="O4" i="5"/>
  <c r="M4" i="5"/>
  <c r="AG3" i="5"/>
  <c r="AF3" i="5"/>
  <c r="X3" i="5"/>
  <c r="W3" i="5"/>
  <c r="U3" i="5"/>
  <c r="T3" i="5"/>
  <c r="O3" i="5"/>
  <c r="M3" i="5"/>
  <c r="AG2" i="5"/>
  <c r="AF2" i="5"/>
  <c r="AE2" i="5"/>
  <c r="AD2" i="5"/>
  <c r="AC2" i="5"/>
  <c r="AA2" i="5"/>
  <c r="Z2" i="5"/>
  <c r="AB2" i="5" s="1"/>
  <c r="Y2" i="5"/>
  <c r="X2" i="5"/>
  <c r="W2" i="5"/>
  <c r="U2" i="5"/>
  <c r="T2" i="5"/>
  <c r="V2" i="5" s="1"/>
  <c r="S2" i="5"/>
  <c r="Q2" i="5"/>
  <c r="O2" i="5"/>
  <c r="M2" i="5"/>
  <c r="G41" i="5" l="1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AB41" i="4"/>
  <c r="V31" i="4"/>
  <c r="AG41" i="4"/>
  <c r="AF41" i="4"/>
  <c r="AD41" i="4"/>
  <c r="AC41" i="4"/>
  <c r="AA41" i="4"/>
  <c r="Z41" i="4"/>
  <c r="X41" i="4"/>
  <c r="W41" i="4"/>
  <c r="Y41" i="4" s="1"/>
  <c r="U41" i="4"/>
  <c r="T41" i="4"/>
  <c r="V41" i="4" s="1"/>
  <c r="S41" i="4"/>
  <c r="Q41" i="4"/>
  <c r="O41" i="4"/>
  <c r="M41" i="4"/>
  <c r="AG40" i="4"/>
  <c r="AF40" i="4"/>
  <c r="AD40" i="4"/>
  <c r="AC40" i="4"/>
  <c r="AE40" i="4" s="1"/>
  <c r="AA40" i="4"/>
  <c r="Z40" i="4"/>
  <c r="X40" i="4"/>
  <c r="W40" i="4"/>
  <c r="Y40" i="4" s="1"/>
  <c r="U40" i="4"/>
  <c r="T40" i="4"/>
  <c r="V40" i="4" s="1"/>
  <c r="S40" i="4"/>
  <c r="Q40" i="4"/>
  <c r="O40" i="4"/>
  <c r="M40" i="4"/>
  <c r="AG39" i="4"/>
  <c r="AF39" i="4"/>
  <c r="AD39" i="4"/>
  <c r="AC39" i="4"/>
  <c r="AE39" i="4" s="1"/>
  <c r="AA39" i="4"/>
  <c r="Z39" i="4"/>
  <c r="AB39" i="4" s="1"/>
  <c r="X39" i="4"/>
  <c r="W39" i="4"/>
  <c r="U39" i="4"/>
  <c r="T39" i="4"/>
  <c r="V39" i="4" s="1"/>
  <c r="S39" i="4"/>
  <c r="Q39" i="4"/>
  <c r="O39" i="4"/>
  <c r="M39" i="4"/>
  <c r="AG38" i="4"/>
  <c r="AF38" i="4"/>
  <c r="AD38" i="4"/>
  <c r="AC38" i="4"/>
  <c r="AE38" i="4" s="1"/>
  <c r="AA38" i="4"/>
  <c r="Z38" i="4"/>
  <c r="AB38" i="4" s="1"/>
  <c r="X38" i="4"/>
  <c r="W38" i="4"/>
  <c r="Y38" i="4" s="1"/>
  <c r="U38" i="4"/>
  <c r="T38" i="4"/>
  <c r="S38" i="4"/>
  <c r="Q38" i="4"/>
  <c r="O38" i="4"/>
  <c r="M38" i="4"/>
  <c r="AG37" i="4"/>
  <c r="AF37" i="4"/>
  <c r="AD37" i="4"/>
  <c r="AC37" i="4"/>
  <c r="AE37" i="4" s="1"/>
  <c r="AA37" i="4"/>
  <c r="Z37" i="4"/>
  <c r="AB37" i="4" s="1"/>
  <c r="X37" i="4"/>
  <c r="W37" i="4"/>
  <c r="Y37" i="4" s="1"/>
  <c r="U37" i="4"/>
  <c r="T37" i="4"/>
  <c r="V37" i="4" s="1"/>
  <c r="S37" i="4"/>
  <c r="Q37" i="4"/>
  <c r="O37" i="4"/>
  <c r="M37" i="4"/>
  <c r="AG36" i="4"/>
  <c r="AF36" i="4"/>
  <c r="AD36" i="4"/>
  <c r="AC36" i="4"/>
  <c r="AE36" i="4" s="1"/>
  <c r="AA36" i="4"/>
  <c r="Z36" i="4"/>
  <c r="X36" i="4"/>
  <c r="W36" i="4"/>
  <c r="Y36" i="4" s="1"/>
  <c r="U36" i="4"/>
  <c r="T36" i="4"/>
  <c r="V36" i="4" s="1"/>
  <c r="S36" i="4"/>
  <c r="Q36" i="4"/>
  <c r="O36" i="4"/>
  <c r="M36" i="4"/>
  <c r="AG35" i="4"/>
  <c r="AF35" i="4"/>
  <c r="X35" i="4"/>
  <c r="W35" i="4"/>
  <c r="Y35" i="4" s="1"/>
  <c r="U35" i="4"/>
  <c r="T35" i="4"/>
  <c r="O35" i="4"/>
  <c r="M35" i="4"/>
  <c r="AG34" i="4"/>
  <c r="AF34" i="4"/>
  <c r="AD34" i="4"/>
  <c r="AC34" i="4"/>
  <c r="AE34" i="4" s="1"/>
  <c r="AA34" i="4"/>
  <c r="Z34" i="4"/>
  <c r="AB34" i="4" s="1"/>
  <c r="X34" i="4"/>
  <c r="W34" i="4"/>
  <c r="U34" i="4"/>
  <c r="T34" i="4"/>
  <c r="V34" i="4" s="1"/>
  <c r="S34" i="4"/>
  <c r="Q34" i="4"/>
  <c r="O34" i="4"/>
  <c r="M34" i="4"/>
  <c r="L34" i="4"/>
  <c r="AG33" i="4"/>
  <c r="AF33" i="4"/>
  <c r="X33" i="4"/>
  <c r="W33" i="4"/>
  <c r="U33" i="4"/>
  <c r="T33" i="4"/>
  <c r="O33" i="4"/>
  <c r="M33" i="4"/>
  <c r="AG32" i="4"/>
  <c r="AF32" i="4"/>
  <c r="AD32" i="4"/>
  <c r="AC32" i="4"/>
  <c r="AA32" i="4"/>
  <c r="Z32" i="4"/>
  <c r="X32" i="4"/>
  <c r="W32" i="4"/>
  <c r="U32" i="4"/>
  <c r="T32" i="4"/>
  <c r="V32" i="4" s="1"/>
  <c r="S32" i="4"/>
  <c r="Q32" i="4"/>
  <c r="O32" i="4"/>
  <c r="M32" i="4"/>
  <c r="AG31" i="4"/>
  <c r="AF31" i="4"/>
  <c r="AD31" i="4"/>
  <c r="AC31" i="4"/>
  <c r="AA31" i="4"/>
  <c r="Z31" i="4"/>
  <c r="AB31" i="4" s="1"/>
  <c r="X31" i="4"/>
  <c r="W31" i="4"/>
  <c r="Y31" i="4" s="1"/>
  <c r="S31" i="4"/>
  <c r="Q31" i="4"/>
  <c r="O31" i="4"/>
  <c r="M31" i="4"/>
  <c r="AG30" i="4"/>
  <c r="AF30" i="4"/>
  <c r="X30" i="4"/>
  <c r="W30" i="4"/>
  <c r="U30" i="4"/>
  <c r="T30" i="4"/>
  <c r="V30" i="4" s="1"/>
  <c r="O30" i="4"/>
  <c r="M30" i="4"/>
  <c r="AG29" i="4"/>
  <c r="AF29" i="4"/>
  <c r="X29" i="4"/>
  <c r="W29" i="4"/>
  <c r="Y29" i="4" s="1"/>
  <c r="U29" i="4"/>
  <c r="T29" i="4"/>
  <c r="V29" i="4" s="1"/>
  <c r="O29" i="4"/>
  <c r="M29" i="4"/>
  <c r="AG28" i="4"/>
  <c r="AF28" i="4"/>
  <c r="AD28" i="4"/>
  <c r="AC28" i="4"/>
  <c r="AA28" i="4"/>
  <c r="Z28" i="4"/>
  <c r="AB28" i="4" s="1"/>
  <c r="X28" i="4"/>
  <c r="W28" i="4"/>
  <c r="U28" i="4"/>
  <c r="T28" i="4"/>
  <c r="V28" i="4" s="1"/>
  <c r="S28" i="4"/>
  <c r="Q28" i="4"/>
  <c r="O28" i="4"/>
  <c r="M28" i="4"/>
  <c r="AG27" i="4"/>
  <c r="AF27" i="4"/>
  <c r="AD27" i="4"/>
  <c r="AC27" i="4"/>
  <c r="AA27" i="4"/>
  <c r="Z27" i="4"/>
  <c r="X27" i="4"/>
  <c r="W27" i="4"/>
  <c r="Y27" i="4" s="1"/>
  <c r="U27" i="4"/>
  <c r="T27" i="4"/>
  <c r="S27" i="4"/>
  <c r="Q27" i="4"/>
  <c r="O27" i="4"/>
  <c r="M27" i="4"/>
  <c r="AG26" i="4"/>
  <c r="AF26" i="4"/>
  <c r="X26" i="4"/>
  <c r="W26" i="4"/>
  <c r="Y26" i="4" s="1"/>
  <c r="U26" i="4"/>
  <c r="T26" i="4"/>
  <c r="O26" i="4"/>
  <c r="M26" i="4"/>
  <c r="AG25" i="4"/>
  <c r="AF25" i="4"/>
  <c r="AD25" i="4"/>
  <c r="AC25" i="4"/>
  <c r="AA25" i="4"/>
  <c r="Z25" i="4"/>
  <c r="AB25" i="4" s="1"/>
  <c r="X25" i="4"/>
  <c r="W25" i="4"/>
  <c r="Y25" i="4" s="1"/>
  <c r="U25" i="4"/>
  <c r="T25" i="4"/>
  <c r="V25" i="4" s="1"/>
  <c r="S25" i="4"/>
  <c r="Q25" i="4"/>
  <c r="O25" i="4"/>
  <c r="M25" i="4"/>
  <c r="AF24" i="4"/>
  <c r="AD24" i="4"/>
  <c r="AC24" i="4"/>
  <c r="AE24" i="4" s="1"/>
  <c r="AA24" i="4"/>
  <c r="AB24" i="4" s="1"/>
  <c r="Z24" i="4"/>
  <c r="X24" i="4"/>
  <c r="W24" i="4"/>
  <c r="U24" i="4"/>
  <c r="T24" i="4"/>
  <c r="S24" i="4"/>
  <c r="Q24" i="4"/>
  <c r="AG23" i="4"/>
  <c r="AF23" i="4"/>
  <c r="AD23" i="4"/>
  <c r="AC23" i="4"/>
  <c r="AE23" i="4" s="1"/>
  <c r="AA23" i="4"/>
  <c r="Z23" i="4"/>
  <c r="X23" i="4"/>
  <c r="W23" i="4"/>
  <c r="U23" i="4"/>
  <c r="T23" i="4"/>
  <c r="Q23" i="4"/>
  <c r="S23" i="4"/>
  <c r="O23" i="4"/>
  <c r="M23" i="4"/>
  <c r="AG22" i="4"/>
  <c r="AF22" i="4"/>
  <c r="AD22" i="4"/>
  <c r="AC22" i="4"/>
  <c r="AA22" i="4"/>
  <c r="Z22" i="4"/>
  <c r="AB22" i="4" s="1"/>
  <c r="X22" i="4"/>
  <c r="W22" i="4"/>
  <c r="U22" i="4"/>
  <c r="T22" i="4"/>
  <c r="S22" i="4"/>
  <c r="Q22" i="4"/>
  <c r="O22" i="4"/>
  <c r="M22" i="4"/>
  <c r="AG21" i="4"/>
  <c r="AF21" i="4"/>
  <c r="AD21" i="4"/>
  <c r="AC21" i="4"/>
  <c r="AA21" i="4"/>
  <c r="Z21" i="4"/>
  <c r="X21" i="4"/>
  <c r="W21" i="4"/>
  <c r="Y21" i="4" s="1"/>
  <c r="U21" i="4"/>
  <c r="V21" i="4" s="1"/>
  <c r="S21" i="4"/>
  <c r="Q21" i="4"/>
  <c r="O21" i="4"/>
  <c r="M21" i="4"/>
  <c r="AG20" i="4"/>
  <c r="AF20" i="4"/>
  <c r="AD20" i="4"/>
  <c r="AC20" i="4"/>
  <c r="AE20" i="4" s="1"/>
  <c r="AA20" i="4"/>
  <c r="Z20" i="4"/>
  <c r="AB20" i="4" s="1"/>
  <c r="X20" i="4"/>
  <c r="W20" i="4"/>
  <c r="Y20" i="4" s="1"/>
  <c r="U20" i="4"/>
  <c r="T20" i="4"/>
  <c r="V20" i="4" s="1"/>
  <c r="S20" i="4"/>
  <c r="Q20" i="4"/>
  <c r="O20" i="4"/>
  <c r="M20" i="4"/>
  <c r="AG19" i="4"/>
  <c r="AF19" i="4"/>
  <c r="AD19" i="4"/>
  <c r="AC19" i="4"/>
  <c r="AA19" i="4"/>
  <c r="Z19" i="4"/>
  <c r="AB19" i="4" s="1"/>
  <c r="X19" i="4"/>
  <c r="W19" i="4"/>
  <c r="Y19" i="4" s="1"/>
  <c r="U19" i="4"/>
  <c r="T19" i="4"/>
  <c r="V19" i="4" s="1"/>
  <c r="S19" i="4"/>
  <c r="Q19" i="4"/>
  <c r="O19" i="4"/>
  <c r="M19" i="4"/>
  <c r="AG18" i="4"/>
  <c r="AF18" i="4"/>
  <c r="AD18" i="4"/>
  <c r="AC18" i="4"/>
  <c r="AE18" i="4" s="1"/>
  <c r="AA18" i="4"/>
  <c r="Z18" i="4"/>
  <c r="X18" i="4"/>
  <c r="W18" i="4"/>
  <c r="U18" i="4"/>
  <c r="T18" i="4"/>
  <c r="V18" i="4" s="1"/>
  <c r="S18" i="4"/>
  <c r="Q18" i="4"/>
  <c r="O18" i="4"/>
  <c r="M18" i="4"/>
  <c r="AG17" i="4"/>
  <c r="AF17" i="4"/>
  <c r="AD17" i="4"/>
  <c r="AC17" i="4"/>
  <c r="AA17" i="4"/>
  <c r="Z17" i="4"/>
  <c r="X17" i="4"/>
  <c r="W17" i="4"/>
  <c r="U17" i="4"/>
  <c r="T17" i="4"/>
  <c r="S17" i="4"/>
  <c r="Q17" i="4"/>
  <c r="O17" i="4"/>
  <c r="M17" i="4"/>
  <c r="AG16" i="4"/>
  <c r="AF16" i="4"/>
  <c r="X16" i="4"/>
  <c r="W16" i="4"/>
  <c r="U16" i="4"/>
  <c r="T16" i="4"/>
  <c r="O16" i="4"/>
  <c r="M16" i="4"/>
  <c r="AG15" i="4"/>
  <c r="AF15" i="4"/>
  <c r="X15" i="4"/>
  <c r="W15" i="4"/>
  <c r="U15" i="4"/>
  <c r="T15" i="4"/>
  <c r="O15" i="4"/>
  <c r="M15" i="4"/>
  <c r="AG14" i="4"/>
  <c r="AF14" i="4"/>
  <c r="AD14" i="4"/>
  <c r="AC14" i="4"/>
  <c r="AA14" i="4"/>
  <c r="Z14" i="4"/>
  <c r="X14" i="4"/>
  <c r="W14" i="4"/>
  <c r="U14" i="4"/>
  <c r="T14" i="4"/>
  <c r="S14" i="4"/>
  <c r="Q14" i="4"/>
  <c r="O14" i="4"/>
  <c r="M14" i="4"/>
  <c r="AG13" i="4"/>
  <c r="AF13" i="4"/>
  <c r="AD13" i="4"/>
  <c r="AC13" i="4"/>
  <c r="AE13" i="4" s="1"/>
  <c r="AA13" i="4"/>
  <c r="Z13" i="4"/>
  <c r="X13" i="4"/>
  <c r="W13" i="4"/>
  <c r="U13" i="4"/>
  <c r="T13" i="4"/>
  <c r="S13" i="4"/>
  <c r="Q13" i="4"/>
  <c r="O13" i="4"/>
  <c r="M13" i="4"/>
  <c r="AG12" i="4"/>
  <c r="AF12" i="4"/>
  <c r="AD12" i="4"/>
  <c r="AC12" i="4"/>
  <c r="AA12" i="4"/>
  <c r="Z12" i="4"/>
  <c r="AB12" i="4" s="1"/>
  <c r="X12" i="4"/>
  <c r="W12" i="4"/>
  <c r="U12" i="4"/>
  <c r="T12" i="4"/>
  <c r="S12" i="4"/>
  <c r="Q12" i="4"/>
  <c r="O12" i="4"/>
  <c r="M12" i="4"/>
  <c r="AG11" i="4"/>
  <c r="AF11" i="4"/>
  <c r="AD11" i="4"/>
  <c r="AC11" i="4"/>
  <c r="AA11" i="4"/>
  <c r="Z11" i="4"/>
  <c r="X11" i="4"/>
  <c r="W11" i="4"/>
  <c r="Y11" i="4" s="1"/>
  <c r="U11" i="4"/>
  <c r="T11" i="4"/>
  <c r="S11" i="4"/>
  <c r="Q11" i="4"/>
  <c r="O11" i="4"/>
  <c r="M11" i="4"/>
  <c r="AG10" i="4"/>
  <c r="AF10" i="4"/>
  <c r="AD10" i="4"/>
  <c r="AC10" i="4"/>
  <c r="AA10" i="4"/>
  <c r="Z10" i="4"/>
  <c r="AB10" i="4" s="1"/>
  <c r="X10" i="4"/>
  <c r="W10" i="4"/>
  <c r="U10" i="4"/>
  <c r="T10" i="4"/>
  <c r="V10" i="4" s="1"/>
  <c r="S10" i="4"/>
  <c r="Q10" i="4"/>
  <c r="O10" i="4"/>
  <c r="M10" i="4"/>
  <c r="AG9" i="4"/>
  <c r="AF9" i="4"/>
  <c r="X9" i="4"/>
  <c r="W9" i="4"/>
  <c r="U9" i="4"/>
  <c r="T9" i="4"/>
  <c r="S9" i="4"/>
  <c r="Q9" i="4"/>
  <c r="O9" i="4"/>
  <c r="M9" i="4"/>
  <c r="AG8" i="4"/>
  <c r="AF8" i="4"/>
  <c r="AD8" i="4"/>
  <c r="AC8" i="4"/>
  <c r="AA8" i="4"/>
  <c r="Z8" i="4"/>
  <c r="AB8" i="4" s="1"/>
  <c r="X8" i="4"/>
  <c r="W8" i="4"/>
  <c r="U8" i="4"/>
  <c r="T8" i="4"/>
  <c r="S8" i="4"/>
  <c r="Q8" i="4"/>
  <c r="O8" i="4"/>
  <c r="M8" i="4"/>
  <c r="AG7" i="4"/>
  <c r="AF7" i="4"/>
  <c r="X7" i="4"/>
  <c r="W7" i="4"/>
  <c r="U7" i="4"/>
  <c r="T7" i="4"/>
  <c r="O7" i="4"/>
  <c r="M7" i="4"/>
  <c r="AG6" i="4"/>
  <c r="AF6" i="4"/>
  <c r="AD6" i="4"/>
  <c r="AC6" i="4"/>
  <c r="AA6" i="4"/>
  <c r="Z6" i="4"/>
  <c r="X6" i="4"/>
  <c r="W6" i="4"/>
  <c r="U6" i="4"/>
  <c r="T6" i="4"/>
  <c r="V6" i="4" s="1"/>
  <c r="S6" i="4"/>
  <c r="Q6" i="4"/>
  <c r="O6" i="4"/>
  <c r="M6" i="4"/>
  <c r="AG5" i="4"/>
  <c r="AF5" i="4"/>
  <c r="AD5" i="4"/>
  <c r="AC5" i="4"/>
  <c r="AA5" i="4"/>
  <c r="Z5" i="4"/>
  <c r="X5" i="4"/>
  <c r="W5" i="4"/>
  <c r="U5" i="4"/>
  <c r="T5" i="4"/>
  <c r="S5" i="4"/>
  <c r="Q5" i="4"/>
  <c r="O5" i="4"/>
  <c r="M5" i="4"/>
  <c r="AG4" i="4"/>
  <c r="AF4" i="4"/>
  <c r="AD4" i="4"/>
  <c r="AC4" i="4"/>
  <c r="AE4" i="4" s="1"/>
  <c r="AA4" i="4"/>
  <c r="Z4" i="4"/>
  <c r="X4" i="4"/>
  <c r="W4" i="4"/>
  <c r="U4" i="4"/>
  <c r="T4" i="4"/>
  <c r="S4" i="4"/>
  <c r="Q4" i="4"/>
  <c r="O4" i="4"/>
  <c r="M4" i="4"/>
  <c r="AG3" i="4"/>
  <c r="AF3" i="4"/>
  <c r="AD3" i="4"/>
  <c r="AC3" i="4"/>
  <c r="AA3" i="4"/>
  <c r="Z3" i="4"/>
  <c r="AB3" i="4" s="1"/>
  <c r="X3" i="4"/>
  <c r="W3" i="4"/>
  <c r="U3" i="4"/>
  <c r="T3" i="4"/>
  <c r="S3" i="4"/>
  <c r="Q3" i="4"/>
  <c r="O3" i="4"/>
  <c r="M3" i="4"/>
  <c r="AG2" i="4"/>
  <c r="AF2" i="4"/>
  <c r="AD2" i="4"/>
  <c r="AC2" i="4"/>
  <c r="AA2" i="4"/>
  <c r="Z2" i="4"/>
  <c r="AB2" i="4" s="1"/>
  <c r="X2" i="4"/>
  <c r="W2" i="4"/>
  <c r="U2" i="4"/>
  <c r="V2" i="4" s="1"/>
  <c r="T2" i="4"/>
  <c r="S2" i="4"/>
  <c r="Q2" i="4"/>
  <c r="O2" i="4"/>
  <c r="M2" i="4"/>
  <c r="AE17" i="4" l="1"/>
  <c r="AB27" i="4"/>
  <c r="AE28" i="4"/>
  <c r="Y30" i="4"/>
  <c r="V33" i="4"/>
  <c r="Y12" i="4"/>
  <c r="AB13" i="4"/>
  <c r="V26" i="4"/>
  <c r="AE27" i="4"/>
  <c r="Y33" i="4"/>
  <c r="AE2" i="4"/>
  <c r="Y10" i="4"/>
  <c r="AB17" i="4"/>
  <c r="V9" i="4"/>
  <c r="AE32" i="4"/>
  <c r="Y9" i="4"/>
  <c r="Y15" i="4"/>
  <c r="Y24" i="4"/>
  <c r="Y3" i="4"/>
  <c r="AB4" i="4"/>
  <c r="AE5" i="4"/>
  <c r="Y8" i="4"/>
  <c r="V14" i="4"/>
  <c r="Y17" i="4"/>
  <c r="AB18" i="4"/>
  <c r="AE19" i="4"/>
  <c r="AE25" i="4"/>
  <c r="V27" i="4"/>
  <c r="Y28" i="4"/>
  <c r="Y2" i="4"/>
  <c r="Y34" i="4"/>
  <c r="Y39" i="4"/>
  <c r="AB40" i="4"/>
  <c r="AE41" i="4"/>
  <c r="V3" i="4"/>
  <c r="Y4" i="4"/>
  <c r="AB5" i="4"/>
  <c r="AE6" i="4"/>
  <c r="Y7" i="4"/>
  <c r="V8" i="4"/>
  <c r="AE8" i="4"/>
  <c r="AE10" i="4"/>
  <c r="V11" i="4"/>
  <c r="AE14" i="4"/>
  <c r="Y16" i="4"/>
  <c r="V17" i="4"/>
  <c r="Y22" i="4"/>
  <c r="AB23" i="4"/>
  <c r="V24" i="4"/>
  <c r="AB32" i="4"/>
  <c r="V35" i="4"/>
  <c r="Y18" i="4"/>
  <c r="V5" i="4"/>
  <c r="Y6" i="4"/>
  <c r="AB11" i="4"/>
  <c r="AE12" i="4"/>
  <c r="V13" i="4"/>
  <c r="Y14" i="4"/>
  <c r="AB21" i="4"/>
  <c r="AE22" i="4"/>
  <c r="V23" i="4"/>
  <c r="AE31" i="4"/>
  <c r="AE3" i="4"/>
  <c r="V4" i="4"/>
  <c r="Y5" i="4"/>
  <c r="AB6" i="4"/>
  <c r="V7" i="4"/>
  <c r="AE11" i="4"/>
  <c r="V12" i="4"/>
  <c r="Y13" i="4"/>
  <c r="AB14" i="4"/>
  <c r="V15" i="4"/>
  <c r="V16" i="4"/>
  <c r="AE21" i="4"/>
  <c r="V22" i="4"/>
  <c r="Y23" i="4"/>
  <c r="Y32" i="4"/>
  <c r="AB36" i="4"/>
  <c r="V38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AG10" i="6"/>
  <c r="AG33" i="6"/>
  <c r="AG37" i="6"/>
  <c r="AF10" i="6"/>
  <c r="X3" i="6"/>
  <c r="X2" i="6"/>
  <c r="W41" i="6"/>
  <c r="W3" i="6"/>
  <c r="W2" i="6"/>
  <c r="U3" i="6"/>
  <c r="U2" i="6"/>
  <c r="T3" i="6"/>
  <c r="T2" i="6"/>
  <c r="S8" i="6"/>
  <c r="S7" i="6"/>
  <c r="Q8" i="6"/>
  <c r="Q7" i="6"/>
  <c r="O10" i="6"/>
  <c r="O7" i="6"/>
  <c r="O3" i="6"/>
  <c r="O2" i="6"/>
  <c r="M10" i="6"/>
  <c r="M7" i="6"/>
  <c r="M3" i="6"/>
  <c r="M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AG39" i="6"/>
  <c r="AF39" i="6"/>
  <c r="AD39" i="6"/>
  <c r="AC39" i="6"/>
  <c r="AE39" i="6" s="1"/>
  <c r="AA39" i="6"/>
  <c r="Z39" i="6"/>
  <c r="AB39" i="6" s="1"/>
  <c r="Y39" i="6"/>
  <c r="X39" i="6"/>
  <c r="W39" i="6"/>
  <c r="T39" i="6"/>
  <c r="V39" i="6" s="1"/>
  <c r="U39" i="6"/>
  <c r="AG38" i="6"/>
  <c r="AF38" i="6"/>
  <c r="AD38" i="6"/>
  <c r="AC38" i="6"/>
  <c r="AE38" i="6" s="1"/>
  <c r="AA38" i="6"/>
  <c r="Z38" i="6"/>
  <c r="AB38" i="6" s="1"/>
  <c r="X38" i="6"/>
  <c r="Y38" i="6" s="1"/>
  <c r="W38" i="6"/>
  <c r="U38" i="6"/>
  <c r="T38" i="6"/>
  <c r="V38" i="6" s="1"/>
  <c r="AF37" i="6"/>
  <c r="AD37" i="6"/>
  <c r="AC37" i="6"/>
  <c r="AE37" i="6" s="1"/>
  <c r="AA37" i="6"/>
  <c r="Z37" i="6"/>
  <c r="AB37" i="6" s="1"/>
  <c r="X37" i="6"/>
  <c r="W37" i="6"/>
  <c r="Y37" i="6" s="1"/>
  <c r="U37" i="6"/>
  <c r="V37" i="6" s="1"/>
  <c r="T37" i="6"/>
  <c r="AG40" i="6"/>
  <c r="AF40" i="6"/>
  <c r="AD40" i="6"/>
  <c r="AE40" i="6" s="1"/>
  <c r="AC40" i="6"/>
  <c r="AA40" i="6"/>
  <c r="Z40" i="6"/>
  <c r="AB40" i="6" s="1"/>
  <c r="X40" i="6"/>
  <c r="W40" i="6"/>
  <c r="Y40" i="6" s="1"/>
  <c r="U40" i="6"/>
  <c r="T40" i="6"/>
  <c r="V40" i="6" s="1"/>
  <c r="AG36" i="6"/>
  <c r="AF36" i="6"/>
  <c r="AD36" i="6"/>
  <c r="AC36" i="6"/>
  <c r="AE36" i="6" s="1"/>
  <c r="AB36" i="6"/>
  <c r="AA36" i="6"/>
  <c r="Z36" i="6"/>
  <c r="Y36" i="6"/>
  <c r="X36" i="6"/>
  <c r="W36" i="6"/>
  <c r="U36" i="6"/>
  <c r="V36" i="6"/>
  <c r="T36" i="6"/>
  <c r="AG34" i="6"/>
  <c r="AF34" i="6"/>
  <c r="AG35" i="6"/>
  <c r="AF35" i="6"/>
  <c r="AD35" i="6"/>
  <c r="AC35" i="6"/>
  <c r="AE35" i="6" s="1"/>
  <c r="AB35" i="6"/>
  <c r="AA35" i="6"/>
  <c r="Z35" i="6"/>
  <c r="Y35" i="6"/>
  <c r="X35" i="6"/>
  <c r="W35" i="6"/>
  <c r="U35" i="6"/>
  <c r="T35" i="6"/>
  <c r="V35" i="6" s="1"/>
  <c r="AD34" i="6"/>
  <c r="AC34" i="6"/>
  <c r="AE34" i="6" s="1"/>
  <c r="AA34" i="6"/>
  <c r="AB34" i="6" s="1"/>
  <c r="Z34" i="6"/>
  <c r="X34" i="6"/>
  <c r="Y34" i="6" s="1"/>
  <c r="W34" i="6"/>
  <c r="U34" i="6"/>
  <c r="T34" i="6"/>
  <c r="V34" i="6" s="1"/>
  <c r="AF33" i="6"/>
  <c r="X33" i="6"/>
  <c r="W33" i="6"/>
  <c r="Y33" i="6" s="1"/>
  <c r="U33" i="6"/>
  <c r="T33" i="6"/>
  <c r="V33" i="6" s="1"/>
  <c r="AG32" i="6"/>
  <c r="AF32" i="6"/>
  <c r="AD32" i="6"/>
  <c r="AC32" i="6"/>
  <c r="AE32" i="6" s="1"/>
  <c r="AA32" i="6"/>
  <c r="Z32" i="6"/>
  <c r="AB32" i="6" s="1"/>
  <c r="X32" i="6"/>
  <c r="Y32" i="6" s="1"/>
  <c r="W32" i="6"/>
  <c r="U32" i="6"/>
  <c r="T32" i="6"/>
  <c r="AG31" i="6"/>
  <c r="AF31" i="6"/>
  <c r="X31" i="6"/>
  <c r="W31" i="6"/>
  <c r="U31" i="6"/>
  <c r="T31" i="6"/>
  <c r="AG30" i="6"/>
  <c r="AF30" i="6"/>
  <c r="X30" i="6"/>
  <c r="W30" i="6"/>
  <c r="U30" i="6"/>
  <c r="T30" i="6"/>
  <c r="AG29" i="6"/>
  <c r="AF29" i="6"/>
  <c r="AD29" i="6"/>
  <c r="AC29" i="6"/>
  <c r="AA29" i="6"/>
  <c r="Z29" i="6"/>
  <c r="X29" i="6"/>
  <c r="W29" i="6"/>
  <c r="Y29" i="6" s="1"/>
  <c r="U29" i="6"/>
  <c r="T29" i="6"/>
  <c r="V29" i="6" s="1"/>
  <c r="AG28" i="6"/>
  <c r="AF28" i="6"/>
  <c r="AD28" i="6"/>
  <c r="AC28" i="6"/>
  <c r="AA28" i="6"/>
  <c r="AB28" i="6" s="1"/>
  <c r="Z28" i="6"/>
  <c r="X28" i="6"/>
  <c r="Y28" i="6" s="1"/>
  <c r="W28" i="6"/>
  <c r="U28" i="6"/>
  <c r="T28" i="6"/>
  <c r="V28" i="6" s="1"/>
  <c r="AG27" i="6"/>
  <c r="AF27" i="6"/>
  <c r="AD27" i="6"/>
  <c r="AC27" i="6"/>
  <c r="AE27" i="6" s="1"/>
  <c r="AA27" i="6"/>
  <c r="Z27" i="6"/>
  <c r="AB27" i="6" s="1"/>
  <c r="X27" i="6"/>
  <c r="W27" i="6"/>
  <c r="Y27" i="6" s="1"/>
  <c r="U27" i="6"/>
  <c r="T27" i="6"/>
  <c r="AG26" i="6"/>
  <c r="AF26" i="6"/>
  <c r="AD26" i="6"/>
  <c r="AC26" i="6"/>
  <c r="AE26" i="6" s="1"/>
  <c r="AA26" i="6"/>
  <c r="Z26" i="6"/>
  <c r="AB26" i="6" s="1"/>
  <c r="X26" i="6"/>
  <c r="W26" i="6"/>
  <c r="U26" i="6"/>
  <c r="T26" i="6"/>
  <c r="AG25" i="6"/>
  <c r="AF25" i="6"/>
  <c r="X25" i="6"/>
  <c r="W25" i="6"/>
  <c r="U25" i="6"/>
  <c r="V25" i="6" s="1"/>
  <c r="T25" i="6"/>
  <c r="AG24" i="6"/>
  <c r="AF24" i="6"/>
  <c r="AD24" i="6"/>
  <c r="AE24" i="6" s="1"/>
  <c r="AC24" i="6"/>
  <c r="AA24" i="6"/>
  <c r="Z24" i="6"/>
  <c r="X24" i="6"/>
  <c r="W24" i="6"/>
  <c r="Y24" i="6" s="1"/>
  <c r="U24" i="6"/>
  <c r="V24" i="6" s="1"/>
  <c r="T24" i="6"/>
  <c r="S39" i="6"/>
  <c r="Q39" i="6"/>
  <c r="O39" i="6"/>
  <c r="M39" i="6"/>
  <c r="S38" i="6"/>
  <c r="Q38" i="6"/>
  <c r="O38" i="6"/>
  <c r="M38" i="6"/>
  <c r="S37" i="6"/>
  <c r="Q37" i="6"/>
  <c r="O37" i="6"/>
  <c r="M37" i="6"/>
  <c r="S40" i="6"/>
  <c r="Q40" i="6"/>
  <c r="O40" i="6"/>
  <c r="M40" i="6"/>
  <c r="S36" i="6"/>
  <c r="Q36" i="6"/>
  <c r="O36" i="6"/>
  <c r="M36" i="6"/>
  <c r="S35" i="6"/>
  <c r="Q35" i="6"/>
  <c r="O35" i="6"/>
  <c r="M35" i="6"/>
  <c r="S34" i="6"/>
  <c r="Q34" i="6"/>
  <c r="O34" i="6"/>
  <c r="M34" i="6"/>
  <c r="O33" i="6"/>
  <c r="M33" i="6"/>
  <c r="S32" i="6"/>
  <c r="Q32" i="6"/>
  <c r="O32" i="6"/>
  <c r="M32" i="6"/>
  <c r="O31" i="6"/>
  <c r="M31" i="6"/>
  <c r="O30" i="6"/>
  <c r="M30" i="6"/>
  <c r="S29" i="6"/>
  <c r="Q29" i="6"/>
  <c r="O29" i="6"/>
  <c r="M29" i="6"/>
  <c r="S28" i="6"/>
  <c r="Q28" i="6"/>
  <c r="O28" i="6"/>
  <c r="M28" i="6"/>
  <c r="S27" i="6"/>
  <c r="Q27" i="6"/>
  <c r="O27" i="6"/>
  <c r="M27" i="6"/>
  <c r="S26" i="6"/>
  <c r="Q26" i="6"/>
  <c r="O26" i="6"/>
  <c r="M26" i="6"/>
  <c r="O25" i="6"/>
  <c r="M25" i="6"/>
  <c r="S24" i="6"/>
  <c r="Q24" i="6"/>
  <c r="O24" i="6"/>
  <c r="M24" i="6"/>
  <c r="AG23" i="6"/>
  <c r="AF23" i="6"/>
  <c r="AD23" i="6"/>
  <c r="AC23" i="6"/>
  <c r="AA23" i="6"/>
  <c r="Z23" i="6"/>
  <c r="AB23" i="6" s="1"/>
  <c r="X23" i="6"/>
  <c r="W23" i="6"/>
  <c r="U23" i="6"/>
  <c r="T23" i="6"/>
  <c r="S23" i="6"/>
  <c r="Q23" i="6"/>
  <c r="O23" i="6"/>
  <c r="M23" i="6"/>
  <c r="AG22" i="6"/>
  <c r="AF22" i="6"/>
  <c r="AD22" i="6"/>
  <c r="AC22" i="6"/>
  <c r="AE22" i="6" s="1"/>
  <c r="AA22" i="6"/>
  <c r="Z22" i="6"/>
  <c r="AB22" i="6" s="1"/>
  <c r="X22" i="6"/>
  <c r="W22" i="6"/>
  <c r="Y22" i="6" s="1"/>
  <c r="U22" i="6"/>
  <c r="T22" i="6"/>
  <c r="S22" i="6"/>
  <c r="Q22" i="6"/>
  <c r="O22" i="6"/>
  <c r="M22" i="6"/>
  <c r="AG21" i="6"/>
  <c r="AF21" i="6"/>
  <c r="AD21" i="6"/>
  <c r="AC21" i="6"/>
  <c r="AE21" i="6" s="1"/>
  <c r="AA21" i="6"/>
  <c r="AB21" i="6" s="1"/>
  <c r="Z21" i="6"/>
  <c r="X21" i="6"/>
  <c r="W21" i="6"/>
  <c r="Y21" i="6" s="1"/>
  <c r="U21" i="6"/>
  <c r="T21" i="6"/>
  <c r="S21" i="6"/>
  <c r="Q21" i="6"/>
  <c r="O21" i="6"/>
  <c r="M21" i="6"/>
  <c r="AG2" i="6"/>
  <c r="AG6" i="6"/>
  <c r="AG5" i="6"/>
  <c r="AG3" i="6"/>
  <c r="AF5" i="6"/>
  <c r="AF15" i="6"/>
  <c r="AF14" i="6"/>
  <c r="AF12" i="6"/>
  <c r="AF9" i="6"/>
  <c r="AF8" i="6"/>
  <c r="AF7" i="6"/>
  <c r="AG8" i="6"/>
  <c r="AF17" i="6"/>
  <c r="AG18" i="6"/>
  <c r="AF19" i="6"/>
  <c r="AG20" i="6"/>
  <c r="AF20" i="6"/>
  <c r="AD20" i="6"/>
  <c r="AC20" i="6"/>
  <c r="AA20" i="6"/>
  <c r="Z20" i="6"/>
  <c r="X20" i="6"/>
  <c r="W20" i="6"/>
  <c r="U20" i="6"/>
  <c r="T20" i="6"/>
  <c r="T18" i="6"/>
  <c r="S20" i="6"/>
  <c r="Q20" i="6"/>
  <c r="O20" i="6"/>
  <c r="M20" i="6"/>
  <c r="AG19" i="6"/>
  <c r="AD19" i="6"/>
  <c r="AC19" i="6"/>
  <c r="AE19" i="6" s="1"/>
  <c r="AA19" i="6"/>
  <c r="Z19" i="6"/>
  <c r="AB19" i="6" s="1"/>
  <c r="X19" i="6"/>
  <c r="W19" i="6"/>
  <c r="U19" i="6"/>
  <c r="T19" i="6"/>
  <c r="V19" i="6" s="1"/>
  <c r="S19" i="6"/>
  <c r="Q19" i="6"/>
  <c r="O19" i="6"/>
  <c r="M19" i="6"/>
  <c r="AF18" i="6"/>
  <c r="AD18" i="6"/>
  <c r="AC18" i="6"/>
  <c r="AA18" i="6"/>
  <c r="Z18" i="6"/>
  <c r="AB18" i="6" s="1"/>
  <c r="X18" i="6"/>
  <c r="W18" i="6"/>
  <c r="U18" i="6"/>
  <c r="V18" i="6" s="1"/>
  <c r="S18" i="6"/>
  <c r="Q18" i="6"/>
  <c r="O18" i="6"/>
  <c r="M18" i="6"/>
  <c r="AG17" i="6"/>
  <c r="AD17" i="6"/>
  <c r="AC17" i="6"/>
  <c r="AA17" i="6"/>
  <c r="Z17" i="6"/>
  <c r="AB17" i="6" s="1"/>
  <c r="X17" i="6"/>
  <c r="Y17" i="6" s="1"/>
  <c r="W17" i="6"/>
  <c r="U17" i="6"/>
  <c r="T17" i="6"/>
  <c r="S17" i="6"/>
  <c r="Q17" i="6"/>
  <c r="O17" i="6"/>
  <c r="M17" i="6"/>
  <c r="AG16" i="6"/>
  <c r="AF16" i="6"/>
  <c r="X16" i="6"/>
  <c r="W16" i="6"/>
  <c r="Y16" i="6" s="1"/>
  <c r="U16" i="6"/>
  <c r="T16" i="6"/>
  <c r="V16" i="6" s="1"/>
  <c r="O16" i="6"/>
  <c r="M16" i="6"/>
  <c r="AG15" i="6"/>
  <c r="AD15" i="6"/>
  <c r="AC15" i="6"/>
  <c r="AE15" i="6" s="1"/>
  <c r="AA15" i="6"/>
  <c r="Z15" i="6"/>
  <c r="AB15" i="6" s="1"/>
  <c r="Y15" i="6"/>
  <c r="X15" i="6"/>
  <c r="W15" i="6"/>
  <c r="U15" i="6"/>
  <c r="T15" i="6"/>
  <c r="V15" i="6" s="1"/>
  <c r="S15" i="6"/>
  <c r="Q15" i="6"/>
  <c r="O15" i="6"/>
  <c r="M15" i="6"/>
  <c r="AG14" i="6"/>
  <c r="AD14" i="6"/>
  <c r="AC14" i="6"/>
  <c r="AE14" i="6" s="1"/>
  <c r="AA14" i="6"/>
  <c r="Z14" i="6"/>
  <c r="X14" i="6"/>
  <c r="W14" i="6"/>
  <c r="U14" i="6"/>
  <c r="V14" i="6" s="1"/>
  <c r="T14" i="6"/>
  <c r="Q13" i="6"/>
  <c r="S13" i="6"/>
  <c r="S14" i="6"/>
  <c r="Q14" i="6"/>
  <c r="M13" i="6"/>
  <c r="O13" i="6"/>
  <c r="O14" i="6"/>
  <c r="M14" i="6"/>
  <c r="AG13" i="6"/>
  <c r="AF13" i="6"/>
  <c r="AD13" i="6"/>
  <c r="AC13" i="6"/>
  <c r="AA13" i="6"/>
  <c r="AB13" i="6" s="1"/>
  <c r="Z13" i="6"/>
  <c r="X13" i="6"/>
  <c r="Y13" i="6" s="1"/>
  <c r="W13" i="6"/>
  <c r="U13" i="6"/>
  <c r="T13" i="6"/>
  <c r="V13" i="6" s="1"/>
  <c r="AG12" i="6"/>
  <c r="AD12" i="6"/>
  <c r="AC12" i="6"/>
  <c r="AA12" i="6"/>
  <c r="Z12" i="6"/>
  <c r="AB12" i="6" s="1"/>
  <c r="X12" i="6"/>
  <c r="Y12" i="6" s="1"/>
  <c r="W12" i="6"/>
  <c r="U12" i="6"/>
  <c r="T12" i="6"/>
  <c r="S12" i="6"/>
  <c r="Q12" i="6"/>
  <c r="O12" i="6"/>
  <c r="M12" i="6"/>
  <c r="AG11" i="6"/>
  <c r="AF11" i="6"/>
  <c r="AD11" i="6"/>
  <c r="AC11" i="6"/>
  <c r="AE11" i="6" s="1"/>
  <c r="AA11" i="6"/>
  <c r="Z11" i="6"/>
  <c r="AB11" i="6" s="1"/>
  <c r="X11" i="6"/>
  <c r="W11" i="6"/>
  <c r="U11" i="6"/>
  <c r="T11" i="6"/>
  <c r="V11" i="6" s="1"/>
  <c r="S11" i="6"/>
  <c r="Q11" i="6"/>
  <c r="O11" i="6"/>
  <c r="M11" i="6"/>
  <c r="AE10" i="6"/>
  <c r="AD10" i="6"/>
  <c r="AC10" i="6"/>
  <c r="AA10" i="6"/>
  <c r="Z10" i="6"/>
  <c r="AB10" i="6" s="1"/>
  <c r="X10" i="6"/>
  <c r="W10" i="6"/>
  <c r="U10" i="6"/>
  <c r="T10" i="6"/>
  <c r="V10" i="6" s="1"/>
  <c r="S10" i="6"/>
  <c r="Q10" i="6"/>
  <c r="Y14" i="6" l="1"/>
  <c r="AB20" i="6"/>
  <c r="V26" i="6"/>
  <c r="AE13" i="6"/>
  <c r="AB14" i="6"/>
  <c r="Y18" i="6"/>
  <c r="AE20" i="6"/>
  <c r="Y26" i="6"/>
  <c r="V31" i="6"/>
  <c r="V17" i="6"/>
  <c r="AB24" i="6"/>
  <c r="Y31" i="6"/>
  <c r="V12" i="6"/>
  <c r="AE18" i="6"/>
  <c r="Y11" i="6"/>
  <c r="AB29" i="6"/>
  <c r="AE29" i="6"/>
  <c r="V32" i="6"/>
  <c r="Y10" i="6"/>
  <c r="AE12" i="6"/>
  <c r="AE17" i="6"/>
  <c r="V21" i="6"/>
  <c r="V22" i="6"/>
  <c r="V23" i="6"/>
  <c r="V27" i="6"/>
  <c r="Y23" i="6"/>
  <c r="Y25" i="6"/>
  <c r="AE28" i="6"/>
  <c r="V30" i="6"/>
  <c r="V20" i="6"/>
  <c r="Y19" i="6"/>
  <c r="Y20" i="6"/>
  <c r="AE23" i="6"/>
  <c r="Y30" i="6"/>
  <c r="AG41" i="6"/>
  <c r="AF41" i="6"/>
  <c r="AD41" i="6"/>
  <c r="AC41" i="6"/>
  <c r="AE41" i="6" s="1"/>
  <c r="AA41" i="6"/>
  <c r="Z41" i="6"/>
  <c r="AB41" i="6" s="1"/>
  <c r="X41" i="6"/>
  <c r="Y41" i="6"/>
  <c r="U41" i="6"/>
  <c r="T41" i="6"/>
  <c r="V41" i="6" s="1"/>
  <c r="AG9" i="6"/>
  <c r="AD9" i="6"/>
  <c r="AC9" i="6"/>
  <c r="AA9" i="6"/>
  <c r="Z9" i="6"/>
  <c r="AB9" i="6" s="1"/>
  <c r="X9" i="6"/>
  <c r="W9" i="6"/>
  <c r="Y9" i="6" s="1"/>
  <c r="U9" i="6"/>
  <c r="T9" i="6"/>
  <c r="V9" i="6" s="1"/>
  <c r="AD8" i="6"/>
  <c r="AC8" i="6"/>
  <c r="AE8" i="6" s="1"/>
  <c r="AA8" i="6"/>
  <c r="Z8" i="6"/>
  <c r="AB8" i="6" s="1"/>
  <c r="X8" i="6"/>
  <c r="W8" i="6"/>
  <c r="Y8" i="6" s="1"/>
  <c r="U8" i="6"/>
  <c r="T8" i="6"/>
  <c r="AG7" i="6"/>
  <c r="AD7" i="6"/>
  <c r="AC7" i="6"/>
  <c r="AE7" i="6" s="1"/>
  <c r="AC5" i="6"/>
  <c r="AA7" i="6"/>
  <c r="Z7" i="6"/>
  <c r="AB7" i="6" s="1"/>
  <c r="X7" i="6"/>
  <c r="W7" i="6"/>
  <c r="U7" i="6"/>
  <c r="T7" i="6"/>
  <c r="AF6" i="6"/>
  <c r="AD6" i="6"/>
  <c r="AC6" i="6"/>
  <c r="AE6" i="6" s="1"/>
  <c r="AA6" i="6"/>
  <c r="Z6" i="6"/>
  <c r="AB6" i="6" s="1"/>
  <c r="X6" i="6"/>
  <c r="W6" i="6"/>
  <c r="Y6" i="6" s="1"/>
  <c r="U6" i="6"/>
  <c r="T6" i="6"/>
  <c r="V6" i="6" s="1"/>
  <c r="AD5" i="6"/>
  <c r="AA5" i="6"/>
  <c r="Z5" i="6"/>
  <c r="AB5" i="6" s="1"/>
  <c r="X5" i="6"/>
  <c r="W5" i="6"/>
  <c r="Y5" i="6" s="1"/>
  <c r="U5" i="6"/>
  <c r="T5" i="6"/>
  <c r="V5" i="6" s="1"/>
  <c r="AG4" i="6"/>
  <c r="AF4" i="6"/>
  <c r="AD4" i="6"/>
  <c r="AC4" i="6"/>
  <c r="AE4" i="6" s="1"/>
  <c r="AA4" i="6"/>
  <c r="Z4" i="6"/>
  <c r="AB4" i="6" s="1"/>
  <c r="X4" i="6"/>
  <c r="W4" i="6"/>
  <c r="Y4" i="6" s="1"/>
  <c r="U4" i="6"/>
  <c r="T4" i="6"/>
  <c r="V4" i="6" s="1"/>
  <c r="V8" i="6" l="1"/>
  <c r="AE5" i="6"/>
  <c r="AE9" i="6"/>
  <c r="Y7" i="6"/>
  <c r="V7" i="6"/>
  <c r="AF2" i="6"/>
  <c r="AF3" i="6"/>
  <c r="V3" i="6" l="1"/>
  <c r="Y3" i="6"/>
  <c r="Y2" i="6" l="1"/>
  <c r="V2" i="6"/>
  <c r="I41" i="4" l="1"/>
  <c r="H41" i="4"/>
  <c r="J41" i="4" s="1"/>
  <c r="I39" i="6" l="1"/>
  <c r="H39" i="6"/>
  <c r="J39" i="6" s="1"/>
  <c r="I38" i="6"/>
  <c r="H38" i="6"/>
  <c r="J38" i="6" l="1"/>
  <c r="I37" i="6"/>
  <c r="H37" i="6"/>
  <c r="J37" i="6" l="1"/>
  <c r="I36" i="6"/>
  <c r="H36" i="6"/>
  <c r="I35" i="6"/>
  <c r="J35" i="6" s="1"/>
  <c r="I34" i="6"/>
  <c r="H34" i="6"/>
  <c r="I27" i="6"/>
  <c r="H27" i="6"/>
  <c r="J27" i="6" l="1"/>
  <c r="J36" i="6"/>
  <c r="J34" i="6"/>
  <c r="I4" i="5"/>
  <c r="H4" i="5"/>
  <c r="I33" i="6"/>
  <c r="H33" i="6"/>
  <c r="I29" i="5"/>
  <c r="H29" i="5"/>
  <c r="I32" i="6"/>
  <c r="H32" i="6"/>
  <c r="I31" i="6"/>
  <c r="H31" i="6"/>
  <c r="I19" i="5"/>
  <c r="H19" i="5"/>
  <c r="I5" i="5"/>
  <c r="H5" i="5"/>
  <c r="I23" i="5"/>
  <c r="H23" i="5"/>
  <c r="I13" i="5"/>
  <c r="H13" i="5"/>
  <c r="I30" i="6"/>
  <c r="H30" i="6"/>
  <c r="I41" i="5"/>
  <c r="H41" i="5"/>
  <c r="I29" i="6"/>
  <c r="H29" i="6"/>
  <c r="I40" i="5"/>
  <c r="H40" i="5"/>
  <c r="I28" i="6"/>
  <c r="H28" i="6"/>
  <c r="I32" i="5"/>
  <c r="H32" i="5"/>
  <c r="I39" i="5"/>
  <c r="H39" i="5"/>
  <c r="I38" i="5"/>
  <c r="H38" i="5"/>
  <c r="I26" i="6"/>
  <c r="H26" i="6"/>
  <c r="I37" i="5"/>
  <c r="H37" i="5"/>
  <c r="I36" i="5"/>
  <c r="H36" i="5"/>
  <c r="I35" i="5"/>
  <c r="H35" i="5"/>
  <c r="I34" i="5"/>
  <c r="H34" i="5"/>
  <c r="I33" i="5"/>
  <c r="H33" i="5"/>
  <c r="I25" i="6"/>
  <c r="H25" i="6"/>
  <c r="I31" i="5"/>
  <c r="H31" i="5"/>
  <c r="J32" i="6" l="1"/>
  <c r="J33" i="6"/>
  <c r="J19" i="5"/>
  <c r="J4" i="5"/>
  <c r="J29" i="5"/>
  <c r="J31" i="6"/>
  <c r="J32" i="5"/>
  <c r="J41" i="5"/>
  <c r="J5" i="5"/>
  <c r="J13" i="5"/>
  <c r="J23" i="5"/>
  <c r="J30" i="6"/>
  <c r="J40" i="5"/>
  <c r="J39" i="5"/>
  <c r="J29" i="6"/>
  <c r="J28" i="6"/>
  <c r="J37" i="5"/>
  <c r="J25" i="6"/>
  <c r="J38" i="5"/>
  <c r="J35" i="5"/>
  <c r="J36" i="5"/>
  <c r="J26" i="6"/>
  <c r="J34" i="5"/>
  <c r="J33" i="5"/>
  <c r="J31" i="5"/>
  <c r="I38" i="4"/>
  <c r="H38" i="4"/>
  <c r="I37" i="4"/>
  <c r="H37" i="4"/>
  <c r="I30" i="5"/>
  <c r="H30" i="5"/>
  <c r="I28" i="5"/>
  <c r="H28" i="5"/>
  <c r="I24" i="6"/>
  <c r="H24" i="6"/>
  <c r="I23" i="6"/>
  <c r="H23" i="6"/>
  <c r="I36" i="4"/>
  <c r="H36" i="4"/>
  <c r="I39" i="4"/>
  <c r="H39" i="4"/>
  <c r="I31" i="4"/>
  <c r="H31" i="4"/>
  <c r="I22" i="6"/>
  <c r="H22" i="6"/>
  <c r="I21" i="6"/>
  <c r="H21" i="6"/>
  <c r="I27" i="5"/>
  <c r="H27" i="5"/>
  <c r="I26" i="5"/>
  <c r="H26" i="5"/>
  <c r="I35" i="4"/>
  <c r="H35" i="4"/>
  <c r="J22" i="6" l="1"/>
  <c r="J38" i="4"/>
  <c r="J28" i="5"/>
  <c r="J30" i="5"/>
  <c r="J23" i="6"/>
  <c r="J37" i="4"/>
  <c r="J36" i="4"/>
  <c r="J24" i="6"/>
  <c r="J21" i="6"/>
  <c r="J31" i="4"/>
  <c r="J39" i="4"/>
  <c r="J27" i="5"/>
  <c r="J26" i="5"/>
  <c r="J35" i="4"/>
  <c r="I40" i="4"/>
  <c r="H40" i="4"/>
  <c r="I32" i="4"/>
  <c r="H32" i="4"/>
  <c r="I25" i="5"/>
  <c r="H25" i="5"/>
  <c r="I34" i="4"/>
  <c r="H34" i="4"/>
  <c r="I20" i="6"/>
  <c r="H20" i="6"/>
  <c r="I24" i="5"/>
  <c r="H24" i="5"/>
  <c r="H33" i="4"/>
  <c r="J33" i="4" s="1"/>
  <c r="I30" i="4"/>
  <c r="H30" i="4"/>
  <c r="I22" i="5"/>
  <c r="H22" i="5"/>
  <c r="I19" i="6"/>
  <c r="H19" i="6"/>
  <c r="I21" i="5"/>
  <c r="H21" i="5"/>
  <c r="I18" i="6"/>
  <c r="H18" i="6"/>
  <c r="J20" i="6" l="1"/>
  <c r="J25" i="5"/>
  <c r="J32" i="4"/>
  <c r="J40" i="4"/>
  <c r="J30" i="4"/>
  <c r="J34" i="4"/>
  <c r="J24" i="5"/>
  <c r="J18" i="6"/>
  <c r="J19" i="6"/>
  <c r="J22" i="5"/>
  <c r="J21" i="5"/>
  <c r="I17" i="6"/>
  <c r="H17" i="6"/>
  <c r="I28" i="4"/>
  <c r="H28" i="4"/>
  <c r="I25" i="4"/>
  <c r="H25" i="4"/>
  <c r="I24" i="4"/>
  <c r="H24" i="4"/>
  <c r="I16" i="6"/>
  <c r="H16" i="6"/>
  <c r="J16" i="6" l="1"/>
  <c r="J17" i="6"/>
  <c r="J28" i="4"/>
  <c r="J24" i="4"/>
  <c r="J25" i="4"/>
  <c r="I20" i="5"/>
  <c r="H20" i="5"/>
  <c r="H29" i="4"/>
  <c r="I29" i="4"/>
  <c r="I27" i="4"/>
  <c r="H27" i="4"/>
  <c r="I23" i="4"/>
  <c r="H23" i="4"/>
  <c r="I18" i="5"/>
  <c r="H18" i="5"/>
  <c r="I26" i="4"/>
  <c r="H26" i="4"/>
  <c r="I14" i="6"/>
  <c r="H14" i="6"/>
  <c r="I15" i="6"/>
  <c r="H15" i="6"/>
  <c r="I19" i="4"/>
  <c r="H19" i="4"/>
  <c r="H17" i="5"/>
  <c r="J17" i="5" s="1"/>
  <c r="I16" i="5"/>
  <c r="H16" i="5"/>
  <c r="H13" i="6"/>
  <c r="J13" i="6" s="1"/>
  <c r="I17" i="4"/>
  <c r="H17" i="4"/>
  <c r="H14" i="4"/>
  <c r="J14" i="4" s="1"/>
  <c r="I13" i="4"/>
  <c r="H13" i="4"/>
  <c r="I22" i="4"/>
  <c r="H22" i="4"/>
  <c r="I18" i="4"/>
  <c r="H18" i="4"/>
  <c r="I15" i="5"/>
  <c r="H15" i="5"/>
  <c r="I14" i="5"/>
  <c r="H14" i="5"/>
  <c r="I16" i="4"/>
  <c r="H16" i="4"/>
  <c r="I15" i="4"/>
  <c r="H15" i="4"/>
  <c r="I12" i="6"/>
  <c r="J12" i="6" s="1"/>
  <c r="I12" i="4"/>
  <c r="H12" i="4"/>
  <c r="I21" i="4"/>
  <c r="H21" i="4"/>
  <c r="I11" i="6"/>
  <c r="H11" i="6"/>
  <c r="I12" i="5"/>
  <c r="H12" i="5"/>
  <c r="I11" i="5"/>
  <c r="H11" i="5"/>
  <c r="I20" i="4"/>
  <c r="J20" i="4" s="1"/>
  <c r="H10" i="5"/>
  <c r="J10" i="5" s="1"/>
  <c r="H11" i="4"/>
  <c r="I11" i="4"/>
  <c r="I9" i="5"/>
  <c r="H9" i="5"/>
  <c r="I8" i="5"/>
  <c r="H8" i="5"/>
  <c r="I7" i="5"/>
  <c r="H7" i="5"/>
  <c r="I10" i="6"/>
  <c r="J10" i="6" s="1"/>
  <c r="I10" i="4"/>
  <c r="H10" i="4"/>
  <c r="I9" i="6"/>
  <c r="H9" i="6"/>
  <c r="I6" i="5"/>
  <c r="H6" i="5"/>
  <c r="I8" i="6"/>
  <c r="H8" i="6"/>
  <c r="I9" i="4"/>
  <c r="H9" i="4"/>
  <c r="I8" i="4"/>
  <c r="H8" i="4"/>
  <c r="I7" i="6"/>
  <c r="H7" i="6"/>
  <c r="I6" i="6"/>
  <c r="H6" i="6"/>
  <c r="H7" i="4"/>
  <c r="I7" i="4"/>
  <c r="I3" i="5"/>
  <c r="H3" i="5"/>
  <c r="I5" i="6"/>
  <c r="H5" i="6"/>
  <c r="I6" i="4"/>
  <c r="H6" i="4"/>
  <c r="I5" i="4"/>
  <c r="H5" i="4"/>
  <c r="I4" i="4"/>
  <c r="H4" i="4"/>
  <c r="I4" i="6"/>
  <c r="H4" i="6"/>
  <c r="I2" i="5"/>
  <c r="H2" i="5"/>
  <c r="I3" i="6"/>
  <c r="H3" i="6"/>
  <c r="H2" i="6"/>
  <c r="I3" i="4"/>
  <c r="H3" i="4"/>
  <c r="I2" i="4"/>
  <c r="H2" i="4"/>
  <c r="J14" i="6" l="1"/>
  <c r="J29" i="4"/>
  <c r="J20" i="5"/>
  <c r="J15" i="6"/>
  <c r="J23" i="4"/>
  <c r="J27" i="4"/>
  <c r="J15" i="5"/>
  <c r="J18" i="5"/>
  <c r="J26" i="4"/>
  <c r="J19" i="4"/>
  <c r="J16" i="5"/>
  <c r="J17" i="4"/>
  <c r="J13" i="4"/>
  <c r="J22" i="4"/>
  <c r="J15" i="4"/>
  <c r="J18" i="4"/>
  <c r="J14" i="5"/>
  <c r="J16" i="4"/>
  <c r="J8" i="6"/>
  <c r="J7" i="6"/>
  <c r="J12" i="4"/>
  <c r="J21" i="4"/>
  <c r="J11" i="6"/>
  <c r="J12" i="5"/>
  <c r="J11" i="5"/>
  <c r="J11" i="4"/>
  <c r="J9" i="5"/>
  <c r="J8" i="5"/>
  <c r="J6" i="5"/>
  <c r="J7" i="5"/>
  <c r="J5" i="6"/>
  <c r="J10" i="4"/>
  <c r="J9" i="6"/>
  <c r="J7" i="4"/>
  <c r="J9" i="4"/>
  <c r="J8" i="4"/>
  <c r="J6" i="6"/>
  <c r="J3" i="4"/>
  <c r="J3" i="5"/>
  <c r="J6" i="4"/>
  <c r="J5" i="4"/>
  <c r="J4" i="6"/>
  <c r="J4" i="4"/>
  <c r="J2" i="5"/>
  <c r="J2" i="4"/>
  <c r="J3" i="6"/>
  <c r="J2" i="6"/>
</calcChain>
</file>

<file path=xl/sharedStrings.xml><?xml version="1.0" encoding="utf-8"?>
<sst xmlns="http://schemas.openxmlformats.org/spreadsheetml/2006/main" count="1364" uniqueCount="389">
  <si>
    <t>Patient Name</t>
  </si>
  <si>
    <t>Client Name</t>
  </si>
  <si>
    <t>Rountree</t>
  </si>
  <si>
    <t>Madison</t>
  </si>
  <si>
    <t>Campbell</t>
  </si>
  <si>
    <t>Townsend</t>
  </si>
  <si>
    <t>Furlong</t>
  </si>
  <si>
    <t>Kadane</t>
  </si>
  <si>
    <t>Baca</t>
  </si>
  <si>
    <t>Gonzales</t>
  </si>
  <si>
    <t>Schiegel</t>
  </si>
  <si>
    <t>Crone</t>
  </si>
  <si>
    <t>Wolfe</t>
  </si>
  <si>
    <t>Forbes</t>
  </si>
  <si>
    <t>Plath</t>
  </si>
  <si>
    <t>Rubidoux</t>
  </si>
  <si>
    <t>Richter-Sand</t>
  </si>
  <si>
    <t>Nickerson</t>
  </si>
  <si>
    <t>Gima</t>
  </si>
  <si>
    <t>Stewart</t>
  </si>
  <si>
    <t>Dominguez</t>
  </si>
  <si>
    <t>Romero</t>
  </si>
  <si>
    <t>Saladino</t>
  </si>
  <si>
    <t>Alderette</t>
  </si>
  <si>
    <t>Garcia</t>
  </si>
  <si>
    <t>Laughlin</t>
  </si>
  <si>
    <t>Zamora</t>
  </si>
  <si>
    <t>Wilson</t>
  </si>
  <si>
    <t>Shipp</t>
  </si>
  <si>
    <t>Brosha</t>
  </si>
  <si>
    <t>Robles</t>
  </si>
  <si>
    <t>Fitzgerald</t>
  </si>
  <si>
    <t>Auguston</t>
  </si>
  <si>
    <t>Burke</t>
  </si>
  <si>
    <t>Alcala</t>
  </si>
  <si>
    <t>Lombardo</t>
  </si>
  <si>
    <t>Walton</t>
  </si>
  <si>
    <t>Ickes</t>
  </si>
  <si>
    <t>Carmichael</t>
  </si>
  <si>
    <t>Stumpf</t>
  </si>
  <si>
    <t>Jones</t>
  </si>
  <si>
    <t>Rogers</t>
  </si>
  <si>
    <t>McFarland</t>
  </si>
  <si>
    <t>Cordova</t>
  </si>
  <si>
    <t>Bowen</t>
  </si>
  <si>
    <t>Diaz</t>
  </si>
  <si>
    <t>Sawtelle</t>
  </si>
  <si>
    <t>Harrison</t>
  </si>
  <si>
    <t>Roller</t>
  </si>
  <si>
    <t>Seavey</t>
  </si>
  <si>
    <t>Valdez</t>
  </si>
  <si>
    <t>Passmore</t>
  </si>
  <si>
    <t>Roesch</t>
  </si>
  <si>
    <t>Foote</t>
  </si>
  <si>
    <t>Cunningham</t>
  </si>
  <si>
    <t>Rizzo</t>
  </si>
  <si>
    <t>Shinn</t>
  </si>
  <si>
    <t>Stebbins</t>
  </si>
  <si>
    <t>Sword</t>
  </si>
  <si>
    <t>Barrick</t>
  </si>
  <si>
    <t>Johnson</t>
  </si>
  <si>
    <t>Leo</t>
  </si>
  <si>
    <t>Konker</t>
  </si>
  <si>
    <t>Segarra</t>
  </si>
  <si>
    <t>Nutter</t>
  </si>
  <si>
    <t>Knoll</t>
  </si>
  <si>
    <t>Bretz</t>
  </si>
  <si>
    <t>Marshall</t>
  </si>
  <si>
    <t>Frisch</t>
  </si>
  <si>
    <t>Gandert</t>
  </si>
  <si>
    <t>Divine</t>
  </si>
  <si>
    <t>Ferrara</t>
  </si>
  <si>
    <t>Corrie</t>
  </si>
  <si>
    <t>Gamboa</t>
  </si>
  <si>
    <t>Henline</t>
  </si>
  <si>
    <t>Tennant</t>
  </si>
  <si>
    <t>Kunz</t>
  </si>
  <si>
    <t>Maggio</t>
  </si>
  <si>
    <t>Marquez</t>
  </si>
  <si>
    <t>Otero</t>
  </si>
  <si>
    <t>Coker</t>
  </si>
  <si>
    <t>Fischer</t>
  </si>
  <si>
    <t>Kupay</t>
  </si>
  <si>
    <t>Bair</t>
  </si>
  <si>
    <t>Cochrane</t>
  </si>
  <si>
    <t>Hardening</t>
  </si>
  <si>
    <t>Schaefer</t>
  </si>
  <si>
    <t>Harris</t>
  </si>
  <si>
    <t>Alvidrez</t>
  </si>
  <si>
    <t>Sylvia</t>
  </si>
  <si>
    <t>of Greyhound Companions of New Mexico</t>
  </si>
  <si>
    <t>Littles</t>
  </si>
  <si>
    <t>Walsh</t>
  </si>
  <si>
    <t>Breed</t>
  </si>
  <si>
    <t>Chihuahua Mix</t>
  </si>
  <si>
    <t>M</t>
  </si>
  <si>
    <t>B</t>
  </si>
  <si>
    <t>F</t>
  </si>
  <si>
    <t>Pitbull Mix</t>
  </si>
  <si>
    <t>Huskey</t>
  </si>
  <si>
    <t>Dachshund</t>
  </si>
  <si>
    <t>D</t>
  </si>
  <si>
    <t>Terrier Mix</t>
  </si>
  <si>
    <t>American Pit Bull Terrier</t>
  </si>
  <si>
    <t>Doberman Pinscher</t>
  </si>
  <si>
    <t>Blue Heeler</t>
  </si>
  <si>
    <t>Labrador Retriever</t>
  </si>
  <si>
    <t>Age</t>
  </si>
  <si>
    <t>Sex</t>
  </si>
  <si>
    <t>MN</t>
  </si>
  <si>
    <t>FS</t>
  </si>
  <si>
    <t>Basenji</t>
  </si>
  <si>
    <t>Anatolian/Great Pyrenese</t>
  </si>
  <si>
    <t xml:space="preserve">Chihuahua </t>
  </si>
  <si>
    <t>Miniature Pinscher</t>
  </si>
  <si>
    <t>Whippet</t>
  </si>
  <si>
    <t>Greyhound</t>
  </si>
  <si>
    <t>Border Collie</t>
  </si>
  <si>
    <t>Borzoi</t>
  </si>
  <si>
    <t>Standard Poodle</t>
  </si>
  <si>
    <t>Chihuahua</t>
  </si>
  <si>
    <t>Boxer</t>
  </si>
  <si>
    <t>Cavalier King Charles Spaniel</t>
  </si>
  <si>
    <t>Shih Tzu Mix</t>
  </si>
  <si>
    <t>Carin Terrier</t>
  </si>
  <si>
    <t>Shih Tzu</t>
  </si>
  <si>
    <t>Silky Terrier</t>
  </si>
  <si>
    <t>Norfolk Terrier</t>
  </si>
  <si>
    <t>Rottweiler Mix</t>
  </si>
  <si>
    <t>Romeo Rountree</t>
  </si>
  <si>
    <t>Coyote Bird Madison</t>
  </si>
  <si>
    <t>Annie Campbell</t>
  </si>
  <si>
    <t>Sergio Campbell</t>
  </si>
  <si>
    <t>Gemma Townsend</t>
  </si>
  <si>
    <t>Junior Furlong</t>
  </si>
  <si>
    <t>Abby Kadane</t>
  </si>
  <si>
    <t>Tango Baca</t>
  </si>
  <si>
    <t>Sasha Schiegel</t>
  </si>
  <si>
    <t>Logan Crone</t>
  </si>
  <si>
    <t>Biscochita Wolfe</t>
  </si>
  <si>
    <t>Penny Plath</t>
  </si>
  <si>
    <t>Henry Rubidoux</t>
  </si>
  <si>
    <t>Lucien Rountree</t>
  </si>
  <si>
    <t>Zena Rountree</t>
  </si>
  <si>
    <t>Abbey Richter-Sand</t>
  </si>
  <si>
    <t>Bluebell Nickerson</t>
  </si>
  <si>
    <t>Katie (Katrina Rose) Gima</t>
  </si>
  <si>
    <t>Domino Stewart</t>
  </si>
  <si>
    <t>Gus Dominguez</t>
  </si>
  <si>
    <t>Nacho Gonzales</t>
  </si>
  <si>
    <t>Isabella Saladino</t>
  </si>
  <si>
    <t>Dotti Alderette</t>
  </si>
  <si>
    <t>Paco Garcia</t>
  </si>
  <si>
    <t>Nirvana Laughlin</t>
  </si>
  <si>
    <t>Lincoln Zamora</t>
  </si>
  <si>
    <t>Jackson Shipp</t>
  </si>
  <si>
    <t>George Robles</t>
  </si>
  <si>
    <t>Fenway Fitzgerald</t>
  </si>
  <si>
    <t>Giselle Auguston</t>
  </si>
  <si>
    <t>O'Rio Burke</t>
  </si>
  <si>
    <t>Hollee Alcala</t>
  </si>
  <si>
    <t>Alaska Lombardo</t>
  </si>
  <si>
    <t>Kenzie Walton</t>
  </si>
  <si>
    <t>Dudley Carmichael</t>
  </si>
  <si>
    <t>Fiona Carmichael</t>
  </si>
  <si>
    <t>Zelda Stumpf</t>
  </si>
  <si>
    <t>Boston Terrier</t>
  </si>
  <si>
    <t>Elsie Harris</t>
  </si>
  <si>
    <t>Luke Walsh</t>
  </si>
  <si>
    <t>Reno Littles</t>
  </si>
  <si>
    <t>Pitbull</t>
  </si>
  <si>
    <t>Italian Greyhound</t>
  </si>
  <si>
    <t>Pembroke Welsh Corgi</t>
  </si>
  <si>
    <t>Golden Retriever</t>
  </si>
  <si>
    <t>Ariana Rizzo</t>
  </si>
  <si>
    <t>Sheba of Greyhound Companions of New Mexico</t>
  </si>
  <si>
    <t>Rufus Romero</t>
  </si>
  <si>
    <t>German Shorthaired Pointer</t>
  </si>
  <si>
    <t>Catahoula Leopard Dog</t>
  </si>
  <si>
    <t>Morgana Magpie Saladino</t>
  </si>
  <si>
    <t>Chex Jones</t>
  </si>
  <si>
    <t>Missy Rogers</t>
  </si>
  <si>
    <t>Dexter McFarland</t>
  </si>
  <si>
    <t>Nanuk Cordova</t>
  </si>
  <si>
    <t>Gus Bowen</t>
  </si>
  <si>
    <t>Taz Diaz</t>
  </si>
  <si>
    <t>Emma Sawtelle</t>
  </si>
  <si>
    <t>Maggie Harrison</t>
  </si>
  <si>
    <t>Titan Roller</t>
  </si>
  <si>
    <t>Tris Roller</t>
  </si>
  <si>
    <t>Gracie Seavey</t>
  </si>
  <si>
    <t>Haven Passmore</t>
  </si>
  <si>
    <t>Enzo Roesch</t>
  </si>
  <si>
    <t>Osito Azul Foote</t>
  </si>
  <si>
    <t>Badger Cunningham</t>
  </si>
  <si>
    <t>Buster Shinn</t>
  </si>
  <si>
    <t>Enzo Brosha</t>
  </si>
  <si>
    <t>Scotia Stebbins</t>
  </si>
  <si>
    <t>Axl Sword</t>
  </si>
  <si>
    <t>Gracie Barrick</t>
  </si>
  <si>
    <t>Aldo Leo</t>
  </si>
  <si>
    <t>Milo Konker</t>
  </si>
  <si>
    <t>Tucker Segarra</t>
  </si>
  <si>
    <t>Toshi Wilson</t>
  </si>
  <si>
    <t>Kibbles Nutter</t>
  </si>
  <si>
    <t>Cooper Knoll</t>
  </si>
  <si>
    <t>Max Bretz</t>
  </si>
  <si>
    <t>Reba Frisch</t>
  </si>
  <si>
    <t>Valentina Gandert</t>
  </si>
  <si>
    <t>Decker Divine</t>
  </si>
  <si>
    <t>Tesla Ferrara</t>
  </si>
  <si>
    <t>Mali Corrie</t>
  </si>
  <si>
    <t>Rupert Gamboa</t>
  </si>
  <si>
    <t>Zipper Henline</t>
  </si>
  <si>
    <t>Chip Tennant</t>
  </si>
  <si>
    <t>Abby Ickes</t>
  </si>
  <si>
    <t>Aspen Kunz</t>
  </si>
  <si>
    <t>Angus Maggio</t>
  </si>
  <si>
    <t>Brandy Otero</t>
  </si>
  <si>
    <t>Sally Coker</t>
  </si>
  <si>
    <t>Finn Fischer</t>
  </si>
  <si>
    <t>Tinker Kupay</t>
  </si>
  <si>
    <t>Scarlet Bair</t>
  </si>
  <si>
    <t>Starsky Cochrane</t>
  </si>
  <si>
    <t>Mossy Gonzales</t>
  </si>
  <si>
    <t>Princess Hardening</t>
  </si>
  <si>
    <t>Eddie Cruz Marquez</t>
  </si>
  <si>
    <t>Emmit Schaefer</t>
  </si>
  <si>
    <t>Bonnie Harris</t>
  </si>
  <si>
    <t>Mahea Alvidrez</t>
  </si>
  <si>
    <t>Chanelle Sylvia</t>
  </si>
  <si>
    <t>Bichon Frise</t>
  </si>
  <si>
    <t>Great Dane</t>
  </si>
  <si>
    <t>Basset Hound</t>
  </si>
  <si>
    <t>Australian Shepherd</t>
  </si>
  <si>
    <t>West Highland White Terrier</t>
  </si>
  <si>
    <t>Siberian Husky</t>
  </si>
  <si>
    <t xml:space="preserve">Labrador Retriever </t>
  </si>
  <si>
    <t>Saluki</t>
  </si>
  <si>
    <t>American Bulldog</t>
  </si>
  <si>
    <t>Belgian Tervuren</t>
  </si>
  <si>
    <t>Miniature Dachshund</t>
  </si>
  <si>
    <t xml:space="preserve">Pitbull </t>
  </si>
  <si>
    <t>English Setter</t>
  </si>
  <si>
    <t>German Shepherd / Doberman</t>
  </si>
  <si>
    <t>Visla</t>
  </si>
  <si>
    <t>Cairn Terrier</t>
  </si>
  <si>
    <t>Welsh Terrier</t>
  </si>
  <si>
    <t>Chow Chow</t>
  </si>
  <si>
    <t>Sally Johnson</t>
  </si>
  <si>
    <t>Coco Romero</t>
  </si>
  <si>
    <t>Katie Premack</t>
  </si>
  <si>
    <t>Premack</t>
  </si>
  <si>
    <t>Missy Lowe</t>
  </si>
  <si>
    <t>Lowe</t>
  </si>
  <si>
    <t>Peekapoo</t>
  </si>
  <si>
    <t>Samson Valdez</t>
  </si>
  <si>
    <t>English Mastiff</t>
  </si>
  <si>
    <t>Mora Hunter</t>
  </si>
  <si>
    <t>Hunter</t>
  </si>
  <si>
    <t>Raimy Perlstein</t>
  </si>
  <si>
    <t>Perlstein</t>
  </si>
  <si>
    <t>French Bulldog</t>
  </si>
  <si>
    <t>Klinkowski</t>
  </si>
  <si>
    <t>Tavi Hoshen</t>
  </si>
  <si>
    <t>Hoshen</t>
  </si>
  <si>
    <t>Olive Hinton</t>
  </si>
  <si>
    <t>Hinton</t>
  </si>
  <si>
    <t>Ziggy Stalzer</t>
  </si>
  <si>
    <t>Stalzer</t>
  </si>
  <si>
    <t>Fletcher Mowery</t>
  </si>
  <si>
    <t>Mowery</t>
  </si>
  <si>
    <t>Staffordshire Terrier</t>
  </si>
  <si>
    <t>Kelly Forbes</t>
  </si>
  <si>
    <t>Lucy Leo</t>
  </si>
  <si>
    <t>Grace Marshall</t>
  </si>
  <si>
    <t>ID #</t>
  </si>
  <si>
    <t>Basil Margetson</t>
  </si>
  <si>
    <t>Lorna Margetson</t>
  </si>
  <si>
    <t>Margetson</t>
  </si>
  <si>
    <t>Right Infraorbital Canal Mesial Horizontal Radius</t>
  </si>
  <si>
    <t>Right Infraorbital Canal Mesial Vertical Radius</t>
  </si>
  <si>
    <t>Right Infraorbital Canal Mesial Area</t>
  </si>
  <si>
    <t>Right Infraorbital Canal Mesial Sits in Which Quad</t>
  </si>
  <si>
    <t>Right Infraorbital Canal Mesial Area/% in Quad #5</t>
  </si>
  <si>
    <t>Right Infraorbital Canal Distal Horizontal Radius</t>
  </si>
  <si>
    <t>Right Infraorbital Canal Distal Vertical Radius</t>
  </si>
  <si>
    <t>Right Infraorbital Canal Distal Area</t>
  </si>
  <si>
    <t>Right Infraorbital Canal Distal Sits in Which Quad</t>
  </si>
  <si>
    <t>Right Infraorbital Canal Distal Area/% in Quad #6</t>
  </si>
  <si>
    <t>Left Infraorbital Canal Mesial Horizontal Radius</t>
  </si>
  <si>
    <t>Left Infraorbital Canal Mesial Vertical Radius</t>
  </si>
  <si>
    <t>Left Infraorbital Canal Mesial Area</t>
  </si>
  <si>
    <t>Left Infraorbital Canal Mesial Sits in Which Quad</t>
  </si>
  <si>
    <t>Left Infraorbital Canal Mesial Area/% in Quad #5</t>
  </si>
  <si>
    <t>Left Infraorbital Canal Distal Horizontal Radius</t>
  </si>
  <si>
    <t>Left Infraorbital Canal Distal Vertical Radius</t>
  </si>
  <si>
    <t>Left Infraorbital Canal Distal Area</t>
  </si>
  <si>
    <t>Left Infraorbital Canal Distal Sits in Which Quad</t>
  </si>
  <si>
    <t>Arabella Klinkowski</t>
  </si>
  <si>
    <t>Width of Zygoma</t>
  </si>
  <si>
    <t>Nasion-Prosthion</t>
  </si>
  <si>
    <t>Facial Index</t>
  </si>
  <si>
    <t>Molly Gima</t>
  </si>
  <si>
    <t>Dylan Ferrel</t>
  </si>
  <si>
    <t>Ferrel</t>
  </si>
  <si>
    <t>Jean-Luc Brosha</t>
  </si>
  <si>
    <t>Benjamin Hasenbank</t>
  </si>
  <si>
    <t>Hasenbank</t>
  </si>
  <si>
    <t>Rough Coated Collie</t>
  </si>
  <si>
    <t>Arlo Morgan</t>
  </si>
  <si>
    <t>Morgan</t>
  </si>
  <si>
    <t>Collie</t>
  </si>
  <si>
    <t>Cooper Macal</t>
  </si>
  <si>
    <t>Macal</t>
  </si>
  <si>
    <t>Golden/Poodle</t>
  </si>
  <si>
    <t>Bella Perrone</t>
  </si>
  <si>
    <t>Perrone</t>
  </si>
  <si>
    <t>Bohdi Perrone</t>
  </si>
  <si>
    <t>Not taken</t>
  </si>
  <si>
    <t>not taken</t>
  </si>
  <si>
    <t>END</t>
  </si>
  <si>
    <t xml:space="preserve">Skull Type </t>
  </si>
  <si>
    <t>Skull Type</t>
  </si>
  <si>
    <t>DC-C</t>
  </si>
  <si>
    <t>DC-S</t>
  </si>
  <si>
    <t>DC-O</t>
  </si>
  <si>
    <t>Direct contact with canal</t>
  </si>
  <si>
    <t>Direct contact with sinus</t>
  </si>
  <si>
    <t>Direct contact with suborbital space</t>
  </si>
  <si>
    <t>N</t>
  </si>
  <si>
    <t>NP</t>
  </si>
  <si>
    <t>Y</t>
  </si>
  <si>
    <t>Age (Years)</t>
  </si>
  <si>
    <t>R-M-Quad</t>
  </si>
  <si>
    <t>L-M-Quad</t>
  </si>
  <si>
    <t>R-D-Quad</t>
  </si>
  <si>
    <t>L-D-Quad</t>
  </si>
  <si>
    <t>2,5</t>
  </si>
  <si>
    <t>R-C-M-VR</t>
  </si>
  <si>
    <t>R-C-M-HR</t>
  </si>
  <si>
    <t>R-C-M-area</t>
  </si>
  <si>
    <t>R-C-M-Area</t>
  </si>
  <si>
    <t>L-C-M-HR</t>
  </si>
  <si>
    <t>L-C-M-VR</t>
  </si>
  <si>
    <t>L-C-M-Area</t>
  </si>
  <si>
    <t>R Portion in 5</t>
  </si>
  <si>
    <t>R-C-D-HR</t>
  </si>
  <si>
    <t>R-C-D-VR</t>
  </si>
  <si>
    <t>R-C-D-area</t>
  </si>
  <si>
    <t>R-Portion in 6</t>
  </si>
  <si>
    <t>L-C-M-area</t>
  </si>
  <si>
    <t>L-Portion in 5</t>
  </si>
  <si>
    <t>L-C-D-HR</t>
  </si>
  <si>
    <t>L-C-D-RV</t>
  </si>
  <si>
    <t>L-C-D-area</t>
  </si>
  <si>
    <t>R-Portion in 5</t>
  </si>
  <si>
    <t>Yes direct contact</t>
  </si>
  <si>
    <t xml:space="preserve">No direct contact, but there are mm from root to site </t>
  </si>
  <si>
    <t>No possible contact</t>
  </si>
  <si>
    <t>R-C-D-Area</t>
  </si>
  <si>
    <t>L-C-D-VR</t>
  </si>
  <si>
    <t>L-C-D-Area</t>
  </si>
  <si>
    <t xml:space="preserve">R-D-RL </t>
  </si>
  <si>
    <t>L-D-RL</t>
  </si>
  <si>
    <t>R-D-RL</t>
  </si>
  <si>
    <t>Right distal Root Length</t>
  </si>
  <si>
    <t>Left distal Root Length</t>
  </si>
  <si>
    <t>OPEN</t>
  </si>
  <si>
    <t>1,2</t>
  </si>
  <si>
    <t>1,2,5</t>
  </si>
  <si>
    <t>Weight (kg)</t>
  </si>
  <si>
    <t>2,3</t>
  </si>
  <si>
    <t>1,2,3</t>
  </si>
  <si>
    <t xml:space="preserve">2,3 </t>
  </si>
  <si>
    <t xml:space="preserve">2,5 </t>
  </si>
  <si>
    <t>Quad 1-6</t>
  </si>
  <si>
    <t>See Chart</t>
  </si>
  <si>
    <t>Caudal to Maxillary Foreman</t>
  </si>
  <si>
    <t>R-Portion in 12</t>
  </si>
  <si>
    <t>L-Portion in 12</t>
  </si>
  <si>
    <t>9, 12</t>
  </si>
  <si>
    <t>8,9,12</t>
  </si>
  <si>
    <t>9,12</t>
  </si>
  <si>
    <t>9,11</t>
  </si>
  <si>
    <t>7,8,9,11</t>
  </si>
  <si>
    <t>9,11,12</t>
  </si>
  <si>
    <t>Left Infraorbital Canal Distal Area/% in Quad #12</t>
  </si>
  <si>
    <t>13 or Quad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</si>
</sst>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0" fontId="0" fillId="0" borderId="3" xfId="0" applyFill="1" applyBorder="1"/>
    <xf numFmtId="17" fontId="0" fillId="0" borderId="4" xfId="0" applyNumberFormat="1" applyBorder="1"/>
    <xf numFmtId="0" fontId="0" fillId="3" borderId="4" xfId="0" applyFill="1" applyBorder="1"/>
    <xf numFmtId="0" fontId="0" fillId="4" borderId="4" xfId="0" applyFill="1" applyBorder="1"/>
    <xf numFmtId="2" fontId="0" fillId="0" borderId="4" xfId="0" applyNumberFormat="1" applyBorder="1"/>
    <xf numFmtId="2" fontId="0" fillId="0" borderId="4" xfId="0" applyNumberFormat="1" applyFill="1" applyBorder="1"/>
    <xf numFmtId="2" fontId="2" fillId="0" borderId="4" xfId="0" applyNumberFormat="1" applyFont="1" applyFill="1" applyBorder="1"/>
    <xf numFmtId="0" fontId="0" fillId="5" borderId="4" xfId="0" applyFill="1" applyBorder="1"/>
    <xf numFmtId="0" fontId="0" fillId="6" borderId="4" xfId="0" applyFill="1" applyBorder="1"/>
    <xf numFmtId="0" fontId="1" fillId="6" borderId="2" xfId="0" applyFont="1" applyFill="1" applyBorder="1" applyAlignment="1">
      <alignment horizontal="center"/>
    </xf>
    <xf numFmtId="0" fontId="0" fillId="6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D958-C988-4674-BDA4-00977746120E}">
  <dimension ref="A1:BH137"/>
  <sheetViews>
    <sheetView workbookViewId="0">
      <selection activeCell="R41" sqref="R41"/>
    </sheetView>
  </sheetViews>
  <sheetFormatPr defaultColWidth="8.77734375" defaultRowHeight="14.4" x14ac:dyDescent="0.3"/>
  <cols>
    <col min="1" max="1" width="9" style="5" customWidth="1"/>
    <col min="2" max="2" width="13.77734375" style="6" customWidth="1"/>
    <col min="3" max="3" width="12.6640625" style="6" customWidth="1"/>
    <col min="4" max="4" width="25.5546875" style="6" customWidth="1"/>
    <col min="5" max="5" width="11.21875" style="6" customWidth="1"/>
    <col min="6" max="6" width="6.21875" style="6" customWidth="1"/>
    <col min="7" max="8" width="15.33203125" style="6" customWidth="1"/>
    <col min="9" max="10" width="16.77734375" style="6" customWidth="1"/>
    <col min="11" max="11" width="11.33203125" style="6" customWidth="1"/>
    <col min="12" max="12" width="15.33203125" style="6" customWidth="1"/>
    <col min="13" max="13" width="12.21875" style="6" customWidth="1"/>
    <col min="14" max="14" width="15.33203125" style="6" customWidth="1"/>
    <col min="15" max="15" width="15" style="6" customWidth="1"/>
    <col min="16" max="16" width="12.109375" style="6" customWidth="1"/>
    <col min="17" max="17" width="15.21875" style="6" customWidth="1"/>
    <col min="18" max="19" width="13.6640625" style="6" customWidth="1"/>
    <col min="20" max="20" width="14.109375" style="6" customWidth="1"/>
    <col min="21" max="21" width="14.33203125" style="6" customWidth="1"/>
    <col min="22" max="22" width="13.33203125" style="6" customWidth="1"/>
    <col min="23" max="23" width="12.77734375" style="6" customWidth="1"/>
    <col min="24" max="24" width="12.21875" style="6" customWidth="1"/>
    <col min="25" max="25" width="14.88671875" style="6" customWidth="1"/>
    <col min="26" max="26" width="11" style="6" customWidth="1"/>
    <col min="27" max="27" width="13.5546875" style="6" customWidth="1"/>
    <col min="28" max="28" width="12.6640625" style="6" customWidth="1"/>
    <col min="29" max="29" width="12.109375" style="6" customWidth="1"/>
    <col min="30" max="30" width="13.88671875" style="6" customWidth="1"/>
    <col min="31" max="31" width="16.109375" style="6" customWidth="1"/>
    <col min="32" max="33" width="8.77734375" style="6"/>
    <col min="34" max="34" width="11.44140625" style="18" customWidth="1"/>
    <col min="35" max="35" width="8.77734375" style="6"/>
    <col min="36" max="36" width="13.21875" style="6" customWidth="1"/>
    <col min="37" max="37" width="8.77734375" style="6"/>
    <col min="38" max="38" width="14.44140625" style="6" customWidth="1"/>
    <col min="39" max="39" width="8.77734375" style="6"/>
    <col min="40" max="40" width="16.21875" style="6" customWidth="1"/>
    <col min="41" max="41" width="8.77734375" style="6"/>
    <col min="42" max="42" width="14.33203125" style="6" customWidth="1"/>
    <col min="43" max="43" width="8.77734375" style="6"/>
    <col min="44" max="44" width="14.33203125" style="6" customWidth="1"/>
    <col min="45" max="45" width="7.88671875" style="6" customWidth="1"/>
    <col min="46" max="46" width="13.33203125" style="6" customWidth="1"/>
    <col min="47" max="47" width="11.21875" style="17" customWidth="1"/>
    <col min="48" max="48" width="8.77734375" style="6"/>
    <col min="49" max="49" width="15.21875" style="6" customWidth="1"/>
    <col min="50" max="50" width="8.77734375" style="6"/>
    <col min="51" max="51" width="15.21875" style="6" customWidth="1"/>
    <col min="52" max="52" width="8.77734375" style="6"/>
    <col min="53" max="53" width="15.88671875" style="6" customWidth="1"/>
    <col min="54" max="54" width="8.77734375" style="6"/>
    <col min="55" max="55" width="14.21875" style="6" customWidth="1"/>
    <col min="56" max="56" width="8.77734375" style="6"/>
    <col min="57" max="57" width="14.88671875" style="6" customWidth="1"/>
    <col min="58" max="58" width="8.77734375" style="6"/>
    <col min="59" max="59" width="14.21875" style="6" customWidth="1"/>
    <col min="60" max="60" width="13.21875" style="17" customWidth="1"/>
    <col min="61" max="61" width="8.77734375" style="6"/>
    <col min="62" max="62" width="13.77734375" style="6" customWidth="1"/>
    <col min="63" max="63" width="8.77734375" style="6"/>
    <col min="64" max="64" width="15.44140625" style="6" customWidth="1"/>
    <col min="65" max="65" width="8.77734375" style="6"/>
    <col min="66" max="66" width="14.88671875" style="6" customWidth="1"/>
    <col min="67" max="67" width="8.77734375" style="6"/>
    <col min="68" max="68" width="14.109375" style="6" customWidth="1"/>
    <col min="69" max="69" width="8.77734375" style="6"/>
    <col min="70" max="70" width="14.21875" style="6" customWidth="1"/>
    <col min="71" max="71" width="8.77734375" style="6"/>
    <col min="72" max="72" width="14.109375" style="6" customWidth="1"/>
    <col min="73" max="16384" width="8.77734375" style="6"/>
  </cols>
  <sheetData>
    <row r="1" spans="1:60" s="4" customFormat="1" x14ac:dyDescent="0.3">
      <c r="A1" s="1" t="s">
        <v>276</v>
      </c>
      <c r="B1" s="2" t="s">
        <v>0</v>
      </c>
      <c r="C1" s="2" t="s">
        <v>1</v>
      </c>
      <c r="D1" s="2" t="s">
        <v>93</v>
      </c>
      <c r="E1" s="2" t="s">
        <v>333</v>
      </c>
      <c r="F1" s="2" t="s">
        <v>108</v>
      </c>
      <c r="G1" s="2" t="s">
        <v>371</v>
      </c>
      <c r="H1" s="2" t="s">
        <v>300</v>
      </c>
      <c r="I1" s="2" t="s">
        <v>301</v>
      </c>
      <c r="J1" s="2" t="s">
        <v>302</v>
      </c>
      <c r="K1" s="2" t="s">
        <v>323</v>
      </c>
      <c r="L1" s="2" t="s">
        <v>334</v>
      </c>
      <c r="M1" s="2" t="s">
        <v>356</v>
      </c>
      <c r="N1" s="2" t="s">
        <v>335</v>
      </c>
      <c r="O1" s="2" t="s">
        <v>352</v>
      </c>
      <c r="P1" s="2" t="s">
        <v>336</v>
      </c>
      <c r="Q1" s="3" t="s">
        <v>379</v>
      </c>
      <c r="R1" s="3" t="s">
        <v>337</v>
      </c>
      <c r="S1" s="3" t="s">
        <v>380</v>
      </c>
      <c r="T1" s="3" t="s">
        <v>340</v>
      </c>
      <c r="U1" s="3" t="s">
        <v>339</v>
      </c>
      <c r="V1" s="3" t="s">
        <v>342</v>
      </c>
      <c r="W1" s="3" t="s">
        <v>343</v>
      </c>
      <c r="X1" s="3" t="s">
        <v>344</v>
      </c>
      <c r="Y1" s="3" t="s">
        <v>345</v>
      </c>
      <c r="Z1" s="2" t="s">
        <v>347</v>
      </c>
      <c r="AA1" s="3" t="s">
        <v>348</v>
      </c>
      <c r="AB1" s="3" t="s">
        <v>360</v>
      </c>
      <c r="AC1" s="2" t="s">
        <v>353</v>
      </c>
      <c r="AD1" s="3" t="s">
        <v>361</v>
      </c>
      <c r="AE1" s="3" t="s">
        <v>362</v>
      </c>
      <c r="AF1" s="3" t="s">
        <v>363</v>
      </c>
      <c r="AG1" s="3" t="s">
        <v>364</v>
      </c>
      <c r="AH1" s="19"/>
    </row>
    <row r="2" spans="1:60" x14ac:dyDescent="0.3">
      <c r="A2" s="5">
        <v>2761</v>
      </c>
      <c r="B2" s="6" t="s">
        <v>129</v>
      </c>
      <c r="C2" s="6" t="s">
        <v>2</v>
      </c>
      <c r="D2" s="6" t="s">
        <v>111</v>
      </c>
      <c r="E2" s="6">
        <v>6</v>
      </c>
      <c r="F2" s="6" t="s">
        <v>109</v>
      </c>
      <c r="G2" s="14">
        <f>5.8/2.2</f>
        <v>2.6363636363636362</v>
      </c>
      <c r="H2" s="6">
        <f>90</f>
        <v>90</v>
      </c>
      <c r="I2" s="6">
        <f>67.8</f>
        <v>67.8</v>
      </c>
      <c r="J2" s="6">
        <f t="shared" ref="J2:J7" si="0">(H2*100)/I2</f>
        <v>132.74336283185841</v>
      </c>
      <c r="K2" s="6" t="s">
        <v>95</v>
      </c>
      <c r="L2" s="6">
        <v>2</v>
      </c>
      <c r="M2" s="6">
        <f>0</f>
        <v>0</v>
      </c>
      <c r="N2" s="6">
        <v>2</v>
      </c>
      <c r="O2" s="6">
        <f>0</f>
        <v>0</v>
      </c>
      <c r="P2" s="13" t="s">
        <v>383</v>
      </c>
      <c r="Q2" s="6">
        <f>(0.6/4.81)</f>
        <v>0.12474012474012475</v>
      </c>
      <c r="R2" s="13" t="s">
        <v>383</v>
      </c>
      <c r="S2" s="6">
        <f>(0.9/5.1)</f>
        <v>0.17647058823529413</v>
      </c>
      <c r="T2" s="6">
        <f>(3/2)</f>
        <v>1.5</v>
      </c>
      <c r="U2" s="6">
        <f>(5.7/2)</f>
        <v>2.85</v>
      </c>
      <c r="V2" s="6">
        <f>(T2*U2)*3.142</f>
        <v>13.43205</v>
      </c>
      <c r="W2" s="6">
        <f>(2.72/2)</f>
        <v>1.36</v>
      </c>
      <c r="X2" s="6">
        <f>(4.8/2)</f>
        <v>2.4</v>
      </c>
      <c r="Y2" s="6">
        <f>(W2*X2)*3.142</f>
        <v>10.255488</v>
      </c>
      <c r="Z2" s="6">
        <f>(3/2)</f>
        <v>1.5</v>
      </c>
      <c r="AA2" s="6">
        <f>(4.81/2)</f>
        <v>2.4049999999999998</v>
      </c>
      <c r="AB2" s="6">
        <f>(Z2*AA2)*3.142</f>
        <v>11.334764999999999</v>
      </c>
      <c r="AC2" s="6">
        <f>(3.01/2)</f>
        <v>1.5049999999999999</v>
      </c>
      <c r="AD2" s="6">
        <f>(5.11/2)</f>
        <v>2.5550000000000002</v>
      </c>
      <c r="AE2" s="6">
        <f>(AC2*AD2)*3.142</f>
        <v>12.08185405</v>
      </c>
      <c r="AF2" s="6">
        <f>10.2</f>
        <v>10.199999999999999</v>
      </c>
      <c r="AG2" s="6">
        <f>9.62</f>
        <v>9.6199999999999992</v>
      </c>
      <c r="AU2" s="6"/>
      <c r="BH2" s="6"/>
    </row>
    <row r="3" spans="1:60" x14ac:dyDescent="0.3">
      <c r="A3" s="5">
        <v>1204</v>
      </c>
      <c r="B3" s="6" t="s">
        <v>130</v>
      </c>
      <c r="C3" s="6" t="s">
        <v>3</v>
      </c>
      <c r="D3" s="6" t="s">
        <v>99</v>
      </c>
      <c r="E3" s="6">
        <v>13</v>
      </c>
      <c r="F3" s="6" t="s">
        <v>95</v>
      </c>
      <c r="G3" s="14">
        <f>59.7/2.2</f>
        <v>27.136363636363637</v>
      </c>
      <c r="H3" s="6">
        <f>112.11</f>
        <v>112.11</v>
      </c>
      <c r="I3" s="6">
        <f>88.98</f>
        <v>88.98</v>
      </c>
      <c r="J3" s="6">
        <f t="shared" si="0"/>
        <v>125.99460552933243</v>
      </c>
      <c r="K3" s="6" t="s">
        <v>95</v>
      </c>
      <c r="L3" s="6">
        <v>2</v>
      </c>
      <c r="M3" s="6">
        <f>0</f>
        <v>0</v>
      </c>
      <c r="N3" s="6">
        <v>2</v>
      </c>
      <c r="O3" s="6">
        <f>0</f>
        <v>0</v>
      </c>
      <c r="P3" s="13" t="s">
        <v>383</v>
      </c>
      <c r="Q3" s="6">
        <f>(0.6/8.3)</f>
        <v>7.2289156626506021E-2</v>
      </c>
      <c r="R3" s="6">
        <v>9</v>
      </c>
      <c r="S3" s="6">
        <f>0</f>
        <v>0</v>
      </c>
      <c r="T3" s="6">
        <f>(5.77/2)</f>
        <v>2.8849999999999998</v>
      </c>
      <c r="U3" s="6">
        <f>(6.31/2)</f>
        <v>3.1549999999999998</v>
      </c>
      <c r="V3" s="6">
        <f t="shared" ref="V3:V41" si="1">(T3*U3)*3.142</f>
        <v>28.599033849999994</v>
      </c>
      <c r="W3" s="6">
        <f>(4.58/2)</f>
        <v>2.29</v>
      </c>
      <c r="X3" s="6">
        <f>(6.84/2)</f>
        <v>3.42</v>
      </c>
      <c r="Y3" s="6">
        <f t="shared" ref="Y3:Y41" si="2">(W3*X3)*3.142</f>
        <v>24.607515599999999</v>
      </c>
      <c r="Z3" s="6">
        <f>(4.17/2)</f>
        <v>2.085</v>
      </c>
      <c r="AA3" s="6">
        <f>(8.08/2)</f>
        <v>4.04</v>
      </c>
      <c r="AB3" s="6">
        <f t="shared" ref="AB3:AB6" si="3">(Z3*AA3)*3.142</f>
        <v>26.466322799999997</v>
      </c>
      <c r="AC3" s="6">
        <f>(4.08/2)</f>
        <v>2.04</v>
      </c>
      <c r="AD3" s="6">
        <f>(6.96/2)</f>
        <v>3.48</v>
      </c>
      <c r="AE3" s="6">
        <f t="shared" ref="AE3:AE6" si="4">(AC3*AD3)*3.142</f>
        <v>22.305686399999999</v>
      </c>
      <c r="AF3" s="6">
        <f>17.7</f>
        <v>17.7</v>
      </c>
      <c r="AG3" s="6">
        <f>15.9</f>
        <v>15.9</v>
      </c>
      <c r="AU3" s="6"/>
      <c r="BH3" s="6"/>
    </row>
    <row r="4" spans="1:60" x14ac:dyDescent="0.3">
      <c r="A4" s="5">
        <v>103757</v>
      </c>
      <c r="B4" s="6" t="s">
        <v>135</v>
      </c>
      <c r="C4" s="6" t="s">
        <v>7</v>
      </c>
      <c r="D4" s="6" t="s">
        <v>105</v>
      </c>
      <c r="E4" s="6">
        <v>7</v>
      </c>
      <c r="F4" s="6" t="s">
        <v>110</v>
      </c>
      <c r="G4" s="14">
        <f>45.2/2.2</f>
        <v>20.545454545454547</v>
      </c>
      <c r="H4" s="6">
        <f>114.9</f>
        <v>114.9</v>
      </c>
      <c r="I4" s="6">
        <f>94.5</f>
        <v>94.5</v>
      </c>
      <c r="J4" s="6">
        <f t="shared" si="0"/>
        <v>121.58730158730158</v>
      </c>
      <c r="K4" s="6" t="s">
        <v>95</v>
      </c>
      <c r="L4" s="6">
        <v>2</v>
      </c>
      <c r="M4" s="6">
        <f>0</f>
        <v>0</v>
      </c>
      <c r="N4" s="6">
        <v>2</v>
      </c>
      <c r="O4" s="6">
        <f>0</f>
        <v>0</v>
      </c>
      <c r="P4" s="6">
        <v>9</v>
      </c>
      <c r="Q4" s="6">
        <f>0</f>
        <v>0</v>
      </c>
      <c r="R4" s="6">
        <v>9</v>
      </c>
      <c r="S4" s="6">
        <f>0</f>
        <v>0</v>
      </c>
      <c r="T4" s="6">
        <f>(3.9/2)</f>
        <v>1.95</v>
      </c>
      <c r="U4" s="6">
        <f>(5.77/2)</f>
        <v>2.8849999999999998</v>
      </c>
      <c r="V4" s="6">
        <f t="shared" si="1"/>
        <v>17.676106499999996</v>
      </c>
      <c r="W4" s="6">
        <f>(3.23/2)</f>
        <v>1.615</v>
      </c>
      <c r="X4" s="6">
        <f>(5.89/2)</f>
        <v>2.9449999999999998</v>
      </c>
      <c r="Y4" s="6">
        <f t="shared" si="2"/>
        <v>14.94390185</v>
      </c>
      <c r="Z4" s="6">
        <f>(3.91/2)</f>
        <v>1.9550000000000001</v>
      </c>
      <c r="AA4" s="6">
        <f>(6.9/2)</f>
        <v>3.45</v>
      </c>
      <c r="AB4" s="6">
        <f t="shared" si="3"/>
        <v>21.192004500000003</v>
      </c>
      <c r="AC4" s="6">
        <f>(3.42/2)</f>
        <v>1.71</v>
      </c>
      <c r="AD4" s="6">
        <f>(6.61/2)</f>
        <v>3.3050000000000002</v>
      </c>
      <c r="AE4" s="6">
        <f t="shared" si="4"/>
        <v>17.7571701</v>
      </c>
      <c r="AF4" s="6">
        <f>15</f>
        <v>15</v>
      </c>
      <c r="AG4" s="6">
        <f>15.6</f>
        <v>15.6</v>
      </c>
      <c r="AU4" s="6"/>
      <c r="BH4" s="6"/>
    </row>
    <row r="5" spans="1:60" x14ac:dyDescent="0.3">
      <c r="A5" s="5">
        <v>103826</v>
      </c>
      <c r="B5" s="6" t="s">
        <v>136</v>
      </c>
      <c r="C5" s="6" t="s">
        <v>8</v>
      </c>
      <c r="D5" s="6" t="s">
        <v>106</v>
      </c>
      <c r="E5" s="6">
        <v>4</v>
      </c>
      <c r="F5" s="6" t="s">
        <v>109</v>
      </c>
      <c r="G5" s="14">
        <f>76/2.2</f>
        <v>34.54545454545454</v>
      </c>
      <c r="H5" s="6">
        <f>120.9</f>
        <v>120.9</v>
      </c>
      <c r="I5" s="6">
        <f>75.9</f>
        <v>75.900000000000006</v>
      </c>
      <c r="J5" s="6">
        <f t="shared" si="0"/>
        <v>159.2885375494071</v>
      </c>
      <c r="K5" s="6" t="s">
        <v>95</v>
      </c>
      <c r="L5" s="6" t="s">
        <v>369</v>
      </c>
      <c r="M5" s="6">
        <f>0</f>
        <v>0</v>
      </c>
      <c r="N5" s="6" t="s">
        <v>369</v>
      </c>
      <c r="O5" s="6">
        <f>0</f>
        <v>0</v>
      </c>
      <c r="P5" s="6">
        <v>9</v>
      </c>
      <c r="Q5" s="6">
        <f>0</f>
        <v>0</v>
      </c>
      <c r="R5" s="6">
        <v>9</v>
      </c>
      <c r="S5" s="6">
        <f>0</f>
        <v>0</v>
      </c>
      <c r="T5" s="6">
        <f>(4.7/2)</f>
        <v>2.35</v>
      </c>
      <c r="U5" s="6">
        <f>(7.42/2)</f>
        <v>3.71</v>
      </c>
      <c r="V5" s="6">
        <f t="shared" si="1"/>
        <v>27.393527000000002</v>
      </c>
      <c r="W5" s="6">
        <f>(5.24/2)</f>
        <v>2.62</v>
      </c>
      <c r="X5" s="6">
        <f>(7.3/2)</f>
        <v>3.65</v>
      </c>
      <c r="Y5" s="6">
        <f t="shared" si="2"/>
        <v>30.046946000000002</v>
      </c>
      <c r="Z5" s="6">
        <f>(5.69/2)</f>
        <v>2.8450000000000002</v>
      </c>
      <c r="AA5" s="6">
        <f>(10.95/2)</f>
        <v>5.4749999999999996</v>
      </c>
      <c r="AB5" s="6">
        <f t="shared" si="3"/>
        <v>48.940970249999999</v>
      </c>
      <c r="AC5" s="6">
        <f>(4.54/2)</f>
        <v>2.27</v>
      </c>
      <c r="AD5" s="6">
        <f>(9/2)</f>
        <v>4.5</v>
      </c>
      <c r="AE5" s="6">
        <f t="shared" si="4"/>
        <v>32.095529999999997</v>
      </c>
      <c r="AF5" s="6">
        <f>17.1</f>
        <v>17.100000000000001</v>
      </c>
      <c r="AG5" s="6">
        <f>17.1</f>
        <v>17.100000000000001</v>
      </c>
      <c r="AU5" s="6"/>
      <c r="BH5" s="6"/>
    </row>
    <row r="6" spans="1:60" x14ac:dyDescent="0.3">
      <c r="A6" s="5">
        <v>103549</v>
      </c>
      <c r="B6" s="6" t="s">
        <v>137</v>
      </c>
      <c r="C6" s="6" t="s">
        <v>10</v>
      </c>
      <c r="D6" s="6" t="s">
        <v>106</v>
      </c>
      <c r="E6" s="6">
        <v>8</v>
      </c>
      <c r="F6" s="6" t="s">
        <v>110</v>
      </c>
      <c r="G6" s="14">
        <f>64.7/2.2</f>
        <v>29.409090909090907</v>
      </c>
      <c r="H6" s="6">
        <f>115.8</f>
        <v>115.8</v>
      </c>
      <c r="I6" s="6">
        <f>80.1</f>
        <v>80.099999999999994</v>
      </c>
      <c r="J6" s="6">
        <f t="shared" si="0"/>
        <v>144.5692883895131</v>
      </c>
      <c r="K6" s="6" t="s">
        <v>95</v>
      </c>
      <c r="L6" s="6" t="s">
        <v>369</v>
      </c>
      <c r="M6" s="6">
        <f>0</f>
        <v>0</v>
      </c>
      <c r="N6" s="6" t="s">
        <v>369</v>
      </c>
      <c r="O6" s="6">
        <f>0</f>
        <v>0</v>
      </c>
      <c r="P6" s="13" t="s">
        <v>383</v>
      </c>
      <c r="Q6" s="6">
        <f>(2.7/10.8)</f>
        <v>0.25</v>
      </c>
      <c r="R6" s="13" t="s">
        <v>383</v>
      </c>
      <c r="S6" s="6">
        <f>(2.1/9.32)</f>
        <v>0.22532188841201717</v>
      </c>
      <c r="T6" s="6">
        <f>(5.41/2)</f>
        <v>2.7050000000000001</v>
      </c>
      <c r="U6" s="6">
        <f>(6.61/2)</f>
        <v>3.3050000000000002</v>
      </c>
      <c r="V6" s="6">
        <f t="shared" si="1"/>
        <v>28.08955855</v>
      </c>
      <c r="W6" s="6">
        <f>(4.84/2)</f>
        <v>2.42</v>
      </c>
      <c r="X6" s="6">
        <f>(6.18/2)</f>
        <v>3.09</v>
      </c>
      <c r="Y6" s="6">
        <f t="shared" si="2"/>
        <v>23.495247599999995</v>
      </c>
      <c r="Z6" s="6">
        <f>(5.41/2)</f>
        <v>2.7050000000000001</v>
      </c>
      <c r="AA6" s="6">
        <f>(10.8/2)</f>
        <v>5.4</v>
      </c>
      <c r="AB6" s="6">
        <f t="shared" si="3"/>
        <v>45.895194000000004</v>
      </c>
      <c r="AC6" s="6">
        <f>(4.81/2)</f>
        <v>2.4049999999999998</v>
      </c>
      <c r="AD6" s="6">
        <f>(9.38/2)</f>
        <v>4.6900000000000004</v>
      </c>
      <c r="AE6" s="6">
        <f t="shared" si="4"/>
        <v>35.440031900000001</v>
      </c>
      <c r="AF6" s="6">
        <f>16.2</f>
        <v>16.2</v>
      </c>
      <c r="AG6" s="6">
        <f>16.5</f>
        <v>16.5</v>
      </c>
      <c r="AU6" s="6"/>
      <c r="BH6" s="6"/>
    </row>
    <row r="7" spans="1:60" x14ac:dyDescent="0.3">
      <c r="A7" s="5">
        <v>683</v>
      </c>
      <c r="B7" s="6" t="s">
        <v>273</v>
      </c>
      <c r="C7" s="6" t="s">
        <v>13</v>
      </c>
      <c r="D7" s="6" t="s">
        <v>114</v>
      </c>
      <c r="E7" s="6">
        <v>16</v>
      </c>
      <c r="F7" s="6" t="s">
        <v>110</v>
      </c>
      <c r="G7" s="14">
        <f>14.34/2.2</f>
        <v>6.5181818181818176</v>
      </c>
      <c r="H7" s="6">
        <f>78.3</f>
        <v>78.3</v>
      </c>
      <c r="I7" s="6">
        <f>56.7</f>
        <v>56.7</v>
      </c>
      <c r="J7" s="6">
        <f t="shared" si="0"/>
        <v>138.0952380952381</v>
      </c>
      <c r="K7" s="6" t="s">
        <v>95</v>
      </c>
      <c r="L7" s="8" t="s">
        <v>338</v>
      </c>
      <c r="M7" s="6">
        <f>(1.9/5.18)</f>
        <v>0.36679536679536678</v>
      </c>
      <c r="N7" s="8" t="s">
        <v>338</v>
      </c>
      <c r="O7" s="6">
        <f>(1.53/4.59)</f>
        <v>0.33333333333333337</v>
      </c>
      <c r="P7" s="12">
        <v>13</v>
      </c>
      <c r="Q7" s="6" t="s">
        <v>331</v>
      </c>
      <c r="R7" s="12">
        <v>13</v>
      </c>
      <c r="S7" s="6" t="s">
        <v>331</v>
      </c>
      <c r="T7" s="6">
        <f>(3.76/2)</f>
        <v>1.88</v>
      </c>
      <c r="U7" s="6">
        <f>(5.18/2)</f>
        <v>2.59</v>
      </c>
      <c r="V7" s="6">
        <f t="shared" si="1"/>
        <v>15.299026399999997</v>
      </c>
      <c r="W7" s="6">
        <f>(2.72/2)</f>
        <v>1.36</v>
      </c>
      <c r="X7" s="6">
        <f>(4.59/2)</f>
        <v>2.2949999999999999</v>
      </c>
      <c r="Y7" s="6">
        <f t="shared" si="2"/>
        <v>9.8068103999999998</v>
      </c>
      <c r="Z7" s="6" t="s">
        <v>368</v>
      </c>
      <c r="AA7" s="6" t="s">
        <v>368</v>
      </c>
      <c r="AB7" s="6" t="s">
        <v>368</v>
      </c>
      <c r="AC7" s="6" t="s">
        <v>368</v>
      </c>
      <c r="AD7" s="6" t="s">
        <v>368</v>
      </c>
      <c r="AE7" s="6" t="s">
        <v>368</v>
      </c>
      <c r="AF7" s="6">
        <f>10.4</f>
        <v>10.4</v>
      </c>
      <c r="AG7" s="6">
        <f>10</f>
        <v>10</v>
      </c>
      <c r="AU7" s="6"/>
      <c r="BH7" s="6"/>
    </row>
    <row r="8" spans="1:60" x14ac:dyDescent="0.3">
      <c r="A8" s="5">
        <v>3196</v>
      </c>
      <c r="B8" s="6" t="s">
        <v>142</v>
      </c>
      <c r="C8" s="6" t="s">
        <v>2</v>
      </c>
      <c r="D8" s="6" t="s">
        <v>111</v>
      </c>
      <c r="E8" s="6">
        <v>1</v>
      </c>
      <c r="F8" s="6" t="s">
        <v>109</v>
      </c>
      <c r="G8" s="14">
        <f>30.2/2.2</f>
        <v>13.727272727272727</v>
      </c>
      <c r="H8" s="6">
        <f>96.01</f>
        <v>96.01</v>
      </c>
      <c r="I8" s="6">
        <f>59.4</f>
        <v>59.4</v>
      </c>
      <c r="J8" s="6">
        <f t="shared" ref="J8:J22" si="5">(H8*100)/I8</f>
        <v>161.63299663299665</v>
      </c>
      <c r="K8" s="6" t="s">
        <v>95</v>
      </c>
      <c r="L8" s="6">
        <v>2</v>
      </c>
      <c r="M8" s="6">
        <f>0</f>
        <v>0</v>
      </c>
      <c r="N8" s="6">
        <v>2</v>
      </c>
      <c r="O8" s="6">
        <f>0</f>
        <v>0</v>
      </c>
      <c r="P8" s="13" t="s">
        <v>383</v>
      </c>
      <c r="Q8" s="6">
        <f>(0.6/6.36)</f>
        <v>9.4339622641509427E-2</v>
      </c>
      <c r="R8" s="13" t="s">
        <v>381</v>
      </c>
      <c r="S8" s="6">
        <f>(1.2/5.71)</f>
        <v>0.21015761821366025</v>
      </c>
      <c r="T8" s="6">
        <f>(3.23/2)</f>
        <v>1.615</v>
      </c>
      <c r="U8" s="6">
        <f>(4.21/2)</f>
        <v>2.105</v>
      </c>
      <c r="V8" s="6">
        <f t="shared" si="1"/>
        <v>10.681464650000001</v>
      </c>
      <c r="W8" s="6">
        <f>(3.06/2)</f>
        <v>1.53</v>
      </c>
      <c r="X8" s="6">
        <f>(4.08/2)</f>
        <v>2.04</v>
      </c>
      <c r="Y8" s="6">
        <f t="shared" si="2"/>
        <v>9.8068103999999998</v>
      </c>
      <c r="Z8" s="6">
        <f>(2.85/2)</f>
        <v>1.425</v>
      </c>
      <c r="AA8" s="6">
        <f>(6.36/2)</f>
        <v>3.18</v>
      </c>
      <c r="AB8" s="6">
        <f>(Z8*AA8)*3.142</f>
        <v>14.237973</v>
      </c>
      <c r="AC8" s="6">
        <f>(3.01/2)</f>
        <v>1.5049999999999999</v>
      </c>
      <c r="AD8" s="6">
        <f>(5.71/2)</f>
        <v>2.855</v>
      </c>
      <c r="AE8" s="6">
        <f>(AC8*AD8)*3.142</f>
        <v>13.500467049999997</v>
      </c>
      <c r="AF8" s="6">
        <f>13.2</f>
        <v>13.2</v>
      </c>
      <c r="AG8" s="6">
        <f>12.9</f>
        <v>12.9</v>
      </c>
      <c r="AU8" s="6"/>
      <c r="BH8" s="6"/>
    </row>
    <row r="9" spans="1:60" x14ac:dyDescent="0.3">
      <c r="A9" s="5">
        <v>2963</v>
      </c>
      <c r="B9" s="6" t="s">
        <v>143</v>
      </c>
      <c r="C9" s="6" t="s">
        <v>2</v>
      </c>
      <c r="D9" s="6" t="s">
        <v>111</v>
      </c>
      <c r="E9" s="6">
        <v>5</v>
      </c>
      <c r="F9" s="6" t="s">
        <v>110</v>
      </c>
      <c r="G9" s="14">
        <f>26.8/2.2</f>
        <v>12.181818181818182</v>
      </c>
      <c r="H9" s="6">
        <f>95.1</f>
        <v>95.1</v>
      </c>
      <c r="I9" s="6">
        <f>57.6</f>
        <v>57.6</v>
      </c>
      <c r="J9" s="6">
        <f t="shared" si="5"/>
        <v>165.10416666666666</v>
      </c>
      <c r="K9" s="6" t="s">
        <v>95</v>
      </c>
      <c r="L9" s="6">
        <v>2</v>
      </c>
      <c r="M9" s="6">
        <f>0</f>
        <v>0</v>
      </c>
      <c r="N9" s="6">
        <v>2</v>
      </c>
      <c r="O9" s="6">
        <f>0</f>
        <v>0</v>
      </c>
      <c r="P9" s="6">
        <v>9</v>
      </c>
      <c r="Q9" s="6">
        <f>0</f>
        <v>0</v>
      </c>
      <c r="R9" s="6">
        <v>9</v>
      </c>
      <c r="S9" s="6">
        <f>0</f>
        <v>0</v>
      </c>
      <c r="T9" s="6">
        <f>(3.23/2)</f>
        <v>1.615</v>
      </c>
      <c r="U9" s="6">
        <f>(4.24/2)</f>
        <v>2.12</v>
      </c>
      <c r="V9" s="6">
        <f t="shared" si="1"/>
        <v>10.7575796</v>
      </c>
      <c r="W9" s="6">
        <f>(2.83/2)</f>
        <v>1.415</v>
      </c>
      <c r="X9" s="6">
        <f>(4.08/2)</f>
        <v>2.04</v>
      </c>
      <c r="Y9" s="6">
        <f t="shared" si="2"/>
        <v>9.0696972000000002</v>
      </c>
      <c r="Z9" s="6" t="s">
        <v>368</v>
      </c>
      <c r="AA9" s="6" t="s">
        <v>368</v>
      </c>
      <c r="AB9" s="6" t="s">
        <v>368</v>
      </c>
      <c r="AC9" s="6" t="s">
        <v>368</v>
      </c>
      <c r="AD9" s="6" t="s">
        <v>368</v>
      </c>
      <c r="AE9" s="6" t="s">
        <v>368</v>
      </c>
      <c r="AF9" s="6">
        <f>11.8</f>
        <v>11.8</v>
      </c>
      <c r="AG9" s="6">
        <f>11.7</f>
        <v>11.7</v>
      </c>
      <c r="AU9" s="6"/>
      <c r="BH9" s="6"/>
    </row>
    <row r="10" spans="1:60" x14ac:dyDescent="0.3">
      <c r="A10" s="5">
        <v>103812</v>
      </c>
      <c r="B10" s="6" t="s">
        <v>148</v>
      </c>
      <c r="C10" s="6" t="s">
        <v>20</v>
      </c>
      <c r="D10" s="6" t="s">
        <v>106</v>
      </c>
      <c r="E10" s="6">
        <v>5</v>
      </c>
      <c r="F10" s="6" t="s">
        <v>109</v>
      </c>
      <c r="G10" s="14">
        <f>65/2.2</f>
        <v>29.545454545454543</v>
      </c>
      <c r="H10" s="6">
        <f>85.2</f>
        <v>85.2</v>
      </c>
      <c r="I10" s="6">
        <f>76.23</f>
        <v>76.23</v>
      </c>
      <c r="J10" s="6">
        <f t="shared" si="5"/>
        <v>111.76702085792995</v>
      </c>
      <c r="K10" s="6" t="s">
        <v>95</v>
      </c>
      <c r="L10" s="6">
        <v>2</v>
      </c>
      <c r="M10" s="6">
        <f>0</f>
        <v>0</v>
      </c>
      <c r="N10" s="6">
        <v>2</v>
      </c>
      <c r="O10" s="6">
        <f>0</f>
        <v>0</v>
      </c>
      <c r="P10" s="6">
        <v>9</v>
      </c>
      <c r="Q10" s="6">
        <f>0</f>
        <v>0</v>
      </c>
      <c r="R10" s="6">
        <v>9</v>
      </c>
      <c r="S10" s="6">
        <f>0</f>
        <v>0</v>
      </c>
      <c r="T10" s="6">
        <f>(3.84/2)</f>
        <v>1.92</v>
      </c>
      <c r="U10" s="6">
        <f>(6.64/2)</f>
        <v>3.32</v>
      </c>
      <c r="V10" s="6">
        <f t="shared" si="1"/>
        <v>20.028364799999999</v>
      </c>
      <c r="W10" s="6">
        <f>(4.43/2)</f>
        <v>2.2149999999999999</v>
      </c>
      <c r="X10" s="6">
        <f>(7.38/2)</f>
        <v>3.69</v>
      </c>
      <c r="Y10" s="6">
        <f t="shared" si="2"/>
        <v>25.680665699999995</v>
      </c>
      <c r="Z10" s="6">
        <f>(4.66/2)</f>
        <v>2.33</v>
      </c>
      <c r="AA10" s="6">
        <f>(7.06/2)</f>
        <v>3.53</v>
      </c>
      <c r="AB10" s="6">
        <f>(Z10*AA10)*3.142</f>
        <v>25.8426358</v>
      </c>
      <c r="AC10" s="6">
        <f>(4.57/2)</f>
        <v>2.2850000000000001</v>
      </c>
      <c r="AD10" s="6">
        <f>(7.3/2)</f>
        <v>3.65</v>
      </c>
      <c r="AE10" s="6">
        <f>(AC10*AD10)*3.142</f>
        <v>26.205065500000003</v>
      </c>
      <c r="AF10" s="6">
        <f>20.7</f>
        <v>20.7</v>
      </c>
      <c r="AG10" s="6">
        <f>20.5</f>
        <v>20.5</v>
      </c>
      <c r="AU10" s="6"/>
      <c r="BH10" s="6"/>
    </row>
    <row r="11" spans="1:60" x14ac:dyDescent="0.3">
      <c r="A11" s="5">
        <v>667</v>
      </c>
      <c r="B11" s="6" t="s">
        <v>153</v>
      </c>
      <c r="C11" s="6" t="s">
        <v>25</v>
      </c>
      <c r="D11" s="6" t="s">
        <v>124</v>
      </c>
      <c r="E11" s="6">
        <v>10</v>
      </c>
      <c r="F11" s="6" t="s">
        <v>110</v>
      </c>
      <c r="G11" s="14">
        <f>13.9/2.2</f>
        <v>6.3181818181818175</v>
      </c>
      <c r="H11" s="6">
        <f>83.1</f>
        <v>83.1</v>
      </c>
      <c r="I11" s="6">
        <f>54.9</f>
        <v>54.9</v>
      </c>
      <c r="J11" s="6">
        <f t="shared" si="5"/>
        <v>151.36612021857923</v>
      </c>
      <c r="K11" s="6" t="s">
        <v>95</v>
      </c>
      <c r="L11" s="6">
        <v>2</v>
      </c>
      <c r="M11" s="6">
        <f>0</f>
        <v>0</v>
      </c>
      <c r="N11" s="6">
        <v>2</v>
      </c>
      <c r="O11" s="6">
        <f>0</f>
        <v>0</v>
      </c>
      <c r="P11" s="6">
        <v>9</v>
      </c>
      <c r="Q11" s="6">
        <f>0</f>
        <v>0</v>
      </c>
      <c r="R11" s="6">
        <v>9</v>
      </c>
      <c r="S11" s="6">
        <f>0</f>
        <v>0</v>
      </c>
      <c r="T11" s="6">
        <f>(4.3/2)</f>
        <v>2.15</v>
      </c>
      <c r="U11" s="6">
        <f>(4.88/2)</f>
        <v>2.44</v>
      </c>
      <c r="V11" s="6">
        <f t="shared" si="1"/>
        <v>16.482931999999998</v>
      </c>
      <c r="W11" s="6">
        <f>(4.37/2)</f>
        <v>2.1850000000000001</v>
      </c>
      <c r="X11" s="6">
        <f>(4.74/2)</f>
        <v>2.37</v>
      </c>
      <c r="Y11" s="6">
        <f t="shared" si="2"/>
        <v>16.270689900000001</v>
      </c>
      <c r="Z11" s="6">
        <f>(3.9/2)</f>
        <v>1.95</v>
      </c>
      <c r="AA11" s="6">
        <f>(5.7/2)</f>
        <v>2.85</v>
      </c>
      <c r="AB11" s="6">
        <f t="shared" ref="AB11:AB14" si="6">(Z11*AA11)*3.142</f>
        <v>17.461665</v>
      </c>
      <c r="AC11" s="6">
        <f>(4.2/2)</f>
        <v>2.1</v>
      </c>
      <c r="AD11" s="6">
        <f>(5.71/2)</f>
        <v>2.855</v>
      </c>
      <c r="AE11" s="6">
        <f t="shared" ref="AE11:AE14" si="7">(AC11*AD11)*3.142</f>
        <v>18.837861</v>
      </c>
      <c r="AF11" s="6">
        <f>12.3</f>
        <v>12.3</v>
      </c>
      <c r="AG11" s="6">
        <f>11.1</f>
        <v>11.1</v>
      </c>
      <c r="AU11" s="6"/>
      <c r="BH11" s="6"/>
    </row>
    <row r="12" spans="1:60" x14ac:dyDescent="0.3">
      <c r="A12" s="5">
        <v>805</v>
      </c>
      <c r="B12" s="6" t="s">
        <v>161</v>
      </c>
      <c r="C12" s="6" t="s">
        <v>35</v>
      </c>
      <c r="D12" s="6" t="s">
        <v>236</v>
      </c>
      <c r="E12" s="6">
        <v>12</v>
      </c>
      <c r="F12" s="6" t="s">
        <v>110</v>
      </c>
      <c r="G12" s="14">
        <f>64.3/2.2</f>
        <v>29.227272727272723</v>
      </c>
      <c r="H12" s="6">
        <f>105</f>
        <v>105</v>
      </c>
      <c r="I12" s="6">
        <f>79</f>
        <v>79</v>
      </c>
      <c r="J12" s="6">
        <f t="shared" ref="J12:J19" si="8">(H12*100)/I12</f>
        <v>132.91139240506328</v>
      </c>
      <c r="K12" s="6" t="s">
        <v>95</v>
      </c>
      <c r="L12" s="6">
        <v>2</v>
      </c>
      <c r="M12" s="6">
        <f>0</f>
        <v>0</v>
      </c>
      <c r="N12" s="6">
        <v>2</v>
      </c>
      <c r="O12" s="6">
        <f>0</f>
        <v>0</v>
      </c>
      <c r="P12" s="13" t="s">
        <v>383</v>
      </c>
      <c r="Q12" s="6">
        <f>(0.95/7.42)</f>
        <v>0.12803234501347707</v>
      </c>
      <c r="R12" s="13" t="s">
        <v>383</v>
      </c>
      <c r="S12" s="6">
        <f>(0.3/5.89)</f>
        <v>5.0933786078098474E-2</v>
      </c>
      <c r="T12" s="6">
        <f>(4.7/2)</f>
        <v>2.35</v>
      </c>
      <c r="U12" s="6">
        <f>(6.74/2)</f>
        <v>3.37</v>
      </c>
      <c r="V12" s="6">
        <f t="shared" si="1"/>
        <v>24.883068999999999</v>
      </c>
      <c r="W12" s="6">
        <f>(4.46/2)</f>
        <v>2.23</v>
      </c>
      <c r="X12" s="6">
        <f>(7.41/2)</f>
        <v>3.7050000000000001</v>
      </c>
      <c r="Y12" s="6">
        <f t="shared" si="2"/>
        <v>25.959675300000001</v>
      </c>
      <c r="Z12" s="6">
        <f>(4.74/2)</f>
        <v>2.37</v>
      </c>
      <c r="AA12" s="6">
        <f>(7.42/2)</f>
        <v>3.71</v>
      </c>
      <c r="AB12" s="6">
        <f t="shared" si="6"/>
        <v>27.626663399999998</v>
      </c>
      <c r="AC12" s="6">
        <f>(4.57/2)</f>
        <v>2.2850000000000001</v>
      </c>
      <c r="AD12" s="6">
        <f>(5.89/2)</f>
        <v>2.9449999999999998</v>
      </c>
      <c r="AE12" s="6">
        <f t="shared" si="7"/>
        <v>21.143539149999999</v>
      </c>
      <c r="AF12" s="6">
        <f>17.7</f>
        <v>17.7</v>
      </c>
      <c r="AG12" s="6">
        <f>17.4</f>
        <v>17.399999999999999</v>
      </c>
      <c r="AU12" s="6"/>
      <c r="BH12" s="6"/>
    </row>
    <row r="13" spans="1:60" x14ac:dyDescent="0.3">
      <c r="A13" s="5">
        <v>3347</v>
      </c>
      <c r="B13" s="6" t="s">
        <v>277</v>
      </c>
      <c r="C13" s="6" t="s">
        <v>279</v>
      </c>
      <c r="D13" s="6" t="s">
        <v>237</v>
      </c>
      <c r="E13" s="6">
        <v>2</v>
      </c>
      <c r="F13" s="6" t="s">
        <v>109</v>
      </c>
      <c r="G13" s="14">
        <f>72.1/2.2</f>
        <v>32.772727272727266</v>
      </c>
      <c r="H13" s="6">
        <f>103.8</f>
        <v>103.8</v>
      </c>
      <c r="I13" s="6">
        <f>99.69</f>
        <v>99.69</v>
      </c>
      <c r="J13" s="6">
        <f t="shared" si="8"/>
        <v>104.12278061992176</v>
      </c>
      <c r="K13" s="6" t="s">
        <v>95</v>
      </c>
      <c r="L13" s="6" t="s">
        <v>369</v>
      </c>
      <c r="M13" s="6">
        <f>0</f>
        <v>0</v>
      </c>
      <c r="N13" s="6" t="s">
        <v>369</v>
      </c>
      <c r="O13" s="6">
        <f>0</f>
        <v>0</v>
      </c>
      <c r="P13" s="6">
        <v>9</v>
      </c>
      <c r="Q13" s="6">
        <f>0</f>
        <v>0</v>
      </c>
      <c r="R13" s="6">
        <v>9</v>
      </c>
      <c r="S13" s="6">
        <f>0</f>
        <v>0</v>
      </c>
      <c r="T13" s="6">
        <f>(4.17/2)</f>
        <v>2.085</v>
      </c>
      <c r="U13" s="6">
        <f>(7.3/2)</f>
        <v>3.65</v>
      </c>
      <c r="V13" s="6">
        <f t="shared" si="1"/>
        <v>23.911405499999997</v>
      </c>
      <c r="W13" s="6">
        <f>(5.1/2)</f>
        <v>2.5499999999999998</v>
      </c>
      <c r="X13" s="6">
        <f>(7.21/2)</f>
        <v>3.605</v>
      </c>
      <c r="Y13" s="6">
        <f t="shared" si="2"/>
        <v>28.883620499999999</v>
      </c>
      <c r="Z13" s="6">
        <f>(4.17/2)</f>
        <v>2.085</v>
      </c>
      <c r="AA13" s="6">
        <f>(7.89/2)</f>
        <v>3.9449999999999998</v>
      </c>
      <c r="AB13" s="6">
        <f t="shared" si="6"/>
        <v>25.843971149999998</v>
      </c>
      <c r="AC13" s="6">
        <f>(4.67/2)</f>
        <v>2.335</v>
      </c>
      <c r="AD13" s="6">
        <f>(7.21/2)</f>
        <v>3.605</v>
      </c>
      <c r="AE13" s="6">
        <f t="shared" si="7"/>
        <v>26.448334849999995</v>
      </c>
      <c r="AF13" s="6">
        <f>18.9</f>
        <v>18.899999999999999</v>
      </c>
      <c r="AG13" s="6">
        <f>18.9</f>
        <v>18.899999999999999</v>
      </c>
      <c r="AU13" s="6"/>
      <c r="BH13" s="6"/>
    </row>
    <row r="14" spans="1:60" x14ac:dyDescent="0.3">
      <c r="A14" s="5">
        <v>3346</v>
      </c>
      <c r="B14" s="6" t="s">
        <v>278</v>
      </c>
      <c r="C14" s="6" t="s">
        <v>279</v>
      </c>
      <c r="D14" s="6" t="s">
        <v>106</v>
      </c>
      <c r="E14" s="6">
        <v>2</v>
      </c>
      <c r="F14" s="6" t="s">
        <v>110</v>
      </c>
      <c r="G14" s="14">
        <f>71.1/2.2</f>
        <v>32.318181818181813</v>
      </c>
      <c r="H14" s="6">
        <f>115.5</f>
        <v>115.5</v>
      </c>
      <c r="I14" s="6">
        <v>92.1</v>
      </c>
      <c r="J14" s="6">
        <f t="shared" si="8"/>
        <v>125.40716612377851</v>
      </c>
      <c r="K14" s="6" t="s">
        <v>95</v>
      </c>
      <c r="L14" s="6" t="s">
        <v>369</v>
      </c>
      <c r="M14" s="6">
        <f>0</f>
        <v>0</v>
      </c>
      <c r="N14" s="6" t="s">
        <v>369</v>
      </c>
      <c r="O14" s="6">
        <f>0</f>
        <v>0</v>
      </c>
      <c r="P14" s="6">
        <v>9</v>
      </c>
      <c r="Q14" s="6">
        <f>0</f>
        <v>0</v>
      </c>
      <c r="R14" s="6">
        <v>9</v>
      </c>
      <c r="S14" s="6">
        <f>0</f>
        <v>0</v>
      </c>
      <c r="T14" s="6">
        <f>(4.57/2)</f>
        <v>2.2850000000000001</v>
      </c>
      <c r="U14" s="6">
        <f>(6.66/2)</f>
        <v>3.33</v>
      </c>
      <c r="V14" s="6">
        <f t="shared" si="1"/>
        <v>23.9076351</v>
      </c>
      <c r="W14" s="6">
        <f>(3.71/2)</f>
        <v>1.855</v>
      </c>
      <c r="X14" s="6">
        <f>(6.63/2)</f>
        <v>3.3149999999999999</v>
      </c>
      <c r="Y14" s="6">
        <f t="shared" si="2"/>
        <v>19.321179149999999</v>
      </c>
      <c r="Z14" s="6">
        <f>(4.74/2)</f>
        <v>2.37</v>
      </c>
      <c r="AA14" s="6">
        <f>(6.96/2)</f>
        <v>3.48</v>
      </c>
      <c r="AB14" s="6">
        <f t="shared" si="6"/>
        <v>25.913959200000001</v>
      </c>
      <c r="AC14" s="6">
        <f>(4.26/2)</f>
        <v>2.13</v>
      </c>
      <c r="AD14" s="6">
        <f>(6.71/2)</f>
        <v>3.355</v>
      </c>
      <c r="AE14" s="6">
        <f t="shared" si="7"/>
        <v>22.453203299999998</v>
      </c>
      <c r="AF14" s="6">
        <f>17.8</f>
        <v>17.8</v>
      </c>
      <c r="AG14" s="6">
        <f>17.4</f>
        <v>17.399999999999999</v>
      </c>
      <c r="AU14" s="6"/>
      <c r="BH14" s="6"/>
    </row>
    <row r="15" spans="1:60" x14ac:dyDescent="0.3">
      <c r="A15" s="5">
        <v>3390</v>
      </c>
      <c r="B15" s="6" t="s">
        <v>163</v>
      </c>
      <c r="C15" s="6" t="s">
        <v>38</v>
      </c>
      <c r="D15" s="6" t="s">
        <v>172</v>
      </c>
      <c r="E15" s="6">
        <v>5</v>
      </c>
      <c r="F15" s="6" t="s">
        <v>109</v>
      </c>
      <c r="G15" s="14">
        <f>28.4/2.2</f>
        <v>12.909090909090908</v>
      </c>
      <c r="H15" s="6">
        <f>93.6</f>
        <v>93.6</v>
      </c>
      <c r="I15" s="6">
        <f>68.7</f>
        <v>68.7</v>
      </c>
      <c r="J15" s="6">
        <f t="shared" si="8"/>
        <v>136.24454148471617</v>
      </c>
      <c r="K15" s="6" t="s">
        <v>95</v>
      </c>
      <c r="L15" s="6" t="s">
        <v>372</v>
      </c>
      <c r="M15" s="6">
        <f>0</f>
        <v>0</v>
      </c>
      <c r="N15" s="6" t="s">
        <v>372</v>
      </c>
      <c r="O15" s="6">
        <f>0</f>
        <v>0</v>
      </c>
      <c r="P15" s="12">
        <v>13</v>
      </c>
      <c r="Q15" s="6" t="s">
        <v>331</v>
      </c>
      <c r="R15" s="12">
        <v>13</v>
      </c>
      <c r="S15" s="6" t="s">
        <v>331</v>
      </c>
      <c r="T15" s="6">
        <f>(4.7/2)</f>
        <v>2.35</v>
      </c>
      <c r="U15" s="6">
        <f>(6.07/2)</f>
        <v>3.0350000000000001</v>
      </c>
      <c r="V15" s="6">
        <f t="shared" si="1"/>
        <v>22.409529500000001</v>
      </c>
      <c r="W15" s="6">
        <f>(4.18/2)</f>
        <v>2.09</v>
      </c>
      <c r="X15" s="6">
        <f>(6.71/2)</f>
        <v>3.355</v>
      </c>
      <c r="Y15" s="6">
        <f t="shared" si="2"/>
        <v>22.031546899999999</v>
      </c>
      <c r="Z15" s="6" t="s">
        <v>368</v>
      </c>
      <c r="AA15" s="6" t="s">
        <v>368</v>
      </c>
      <c r="AB15" s="6" t="s">
        <v>368</v>
      </c>
      <c r="AC15" s="6" t="s">
        <v>368</v>
      </c>
      <c r="AD15" s="6" t="s">
        <v>368</v>
      </c>
      <c r="AE15" s="6" t="s">
        <v>368</v>
      </c>
      <c r="AF15" s="6">
        <f>15</f>
        <v>15</v>
      </c>
      <c r="AG15" s="6">
        <f>16.5</f>
        <v>16.5</v>
      </c>
      <c r="AU15" s="6"/>
      <c r="BH15" s="6"/>
    </row>
    <row r="16" spans="1:60" x14ac:dyDescent="0.3">
      <c r="A16" s="5">
        <v>3273</v>
      </c>
      <c r="B16" s="6" t="s">
        <v>164</v>
      </c>
      <c r="C16" s="6" t="s">
        <v>38</v>
      </c>
      <c r="D16" s="6" t="s">
        <v>172</v>
      </c>
      <c r="E16" s="6">
        <v>7</v>
      </c>
      <c r="F16" s="6" t="s">
        <v>110</v>
      </c>
      <c r="G16" s="14">
        <f>29.2/2.2</f>
        <v>13.272727272727272</v>
      </c>
      <c r="H16" s="6">
        <f>95.7</f>
        <v>95.7</v>
      </c>
      <c r="I16" s="6">
        <f>66.01</f>
        <v>66.010000000000005</v>
      </c>
      <c r="J16" s="6">
        <f t="shared" si="8"/>
        <v>144.97803363126798</v>
      </c>
      <c r="K16" s="6" t="s">
        <v>95</v>
      </c>
      <c r="L16" s="6" t="s">
        <v>372</v>
      </c>
      <c r="M16" s="6">
        <f>0</f>
        <v>0</v>
      </c>
      <c r="N16" s="6" t="s">
        <v>372</v>
      </c>
      <c r="O16" s="6">
        <f>0</f>
        <v>0</v>
      </c>
      <c r="P16" s="12">
        <v>13</v>
      </c>
      <c r="Q16" s="6" t="s">
        <v>331</v>
      </c>
      <c r="R16" s="12">
        <v>13</v>
      </c>
      <c r="S16" s="6" t="s">
        <v>331</v>
      </c>
      <c r="T16" s="6">
        <f>(3.76/2)</f>
        <v>1.88</v>
      </c>
      <c r="U16" s="6">
        <f>(5.47/2)</f>
        <v>2.7349999999999999</v>
      </c>
      <c r="V16" s="6">
        <f t="shared" si="1"/>
        <v>16.155535599999997</v>
      </c>
      <c r="W16" s="6">
        <f>(3.6/2)</f>
        <v>1.8</v>
      </c>
      <c r="X16" s="6">
        <f>(5.73/2)</f>
        <v>2.8650000000000002</v>
      </c>
      <c r="Y16" s="6">
        <f t="shared" si="2"/>
        <v>16.203294000000003</v>
      </c>
      <c r="Z16" s="6" t="s">
        <v>368</v>
      </c>
      <c r="AA16" s="6" t="s">
        <v>368</v>
      </c>
      <c r="AB16" s="6" t="s">
        <v>368</v>
      </c>
      <c r="AC16" s="6" t="s">
        <v>368</v>
      </c>
      <c r="AD16" s="6" t="s">
        <v>368</v>
      </c>
      <c r="AE16" s="6" t="s">
        <v>368</v>
      </c>
      <c r="AF16" s="6">
        <f>14.7</f>
        <v>14.7</v>
      </c>
      <c r="AG16" s="6">
        <f>14.7</f>
        <v>14.7</v>
      </c>
      <c r="AU16" s="6"/>
      <c r="BH16" s="6"/>
    </row>
    <row r="17" spans="1:60" x14ac:dyDescent="0.3">
      <c r="A17" s="5">
        <v>103885</v>
      </c>
      <c r="B17" s="6" t="s">
        <v>183</v>
      </c>
      <c r="C17" s="6" t="s">
        <v>43</v>
      </c>
      <c r="D17" s="6" t="s">
        <v>236</v>
      </c>
      <c r="E17" s="6">
        <v>8</v>
      </c>
      <c r="F17" s="6" t="s">
        <v>109</v>
      </c>
      <c r="G17" s="14">
        <f>73.1/2.2</f>
        <v>33.22727272727272</v>
      </c>
      <c r="H17" s="6">
        <f>115.8</f>
        <v>115.8</v>
      </c>
      <c r="I17" s="6">
        <f>84</f>
        <v>84</v>
      </c>
      <c r="J17" s="6">
        <f t="shared" si="8"/>
        <v>137.85714285714286</v>
      </c>
      <c r="K17" s="6" t="s">
        <v>95</v>
      </c>
      <c r="L17" s="6" t="s">
        <v>369</v>
      </c>
      <c r="M17" s="6">
        <f>0</f>
        <v>0</v>
      </c>
      <c r="N17" s="6" t="s">
        <v>369</v>
      </c>
      <c r="O17" s="6">
        <f>0</f>
        <v>0</v>
      </c>
      <c r="P17" s="6">
        <v>9</v>
      </c>
      <c r="Q17" s="6">
        <f>0</f>
        <v>0</v>
      </c>
      <c r="R17" s="6">
        <v>9</v>
      </c>
      <c r="S17" s="6">
        <f>0</f>
        <v>0</v>
      </c>
      <c r="T17" s="6">
        <f>(3.9/2)</f>
        <v>1.95</v>
      </c>
      <c r="U17" s="6">
        <f>(6.91/2)</f>
        <v>3.4550000000000001</v>
      </c>
      <c r="V17" s="6">
        <f t="shared" si="1"/>
        <v>21.168439500000002</v>
      </c>
      <c r="W17" s="6">
        <f>(3.61/2)</f>
        <v>1.8049999999999999</v>
      </c>
      <c r="X17" s="6">
        <f>(6.93/2)</f>
        <v>3.4649999999999999</v>
      </c>
      <c r="Y17" s="6">
        <f t="shared" si="2"/>
        <v>19.651089149999997</v>
      </c>
      <c r="Z17" s="6">
        <f>(8.71/2)</f>
        <v>4.3550000000000004</v>
      </c>
      <c r="AA17" s="6">
        <f>(3.65/2)</f>
        <v>1.825</v>
      </c>
      <c r="AB17" s="6">
        <f>(Z17*AA17)*3.142</f>
        <v>24.972223250000003</v>
      </c>
      <c r="AC17" s="6">
        <f>(9.92/2)</f>
        <v>4.96</v>
      </c>
      <c r="AD17" s="6">
        <f>(3.62/2)</f>
        <v>1.81</v>
      </c>
      <c r="AE17" s="6">
        <f>(AC17*AD17)*3.142</f>
        <v>28.2076192</v>
      </c>
      <c r="AF17" s="6">
        <f>17.9</f>
        <v>17.899999999999999</v>
      </c>
      <c r="AG17" s="6">
        <f>18.3</f>
        <v>18.3</v>
      </c>
      <c r="AU17" s="6"/>
      <c r="BH17" s="6"/>
    </row>
    <row r="18" spans="1:60" x14ac:dyDescent="0.3">
      <c r="A18" s="5">
        <v>103893</v>
      </c>
      <c r="B18" s="6" t="s">
        <v>181</v>
      </c>
      <c r="C18" s="6" t="s">
        <v>41</v>
      </c>
      <c r="D18" s="6" t="s">
        <v>105</v>
      </c>
      <c r="E18" s="6">
        <v>12</v>
      </c>
      <c r="F18" s="6" t="s">
        <v>110</v>
      </c>
      <c r="G18" s="14">
        <f>55/2.2</f>
        <v>24.999999999999996</v>
      </c>
      <c r="H18" s="6">
        <f>112.51</f>
        <v>112.51</v>
      </c>
      <c r="I18" s="6">
        <f>79.2</f>
        <v>79.2</v>
      </c>
      <c r="J18" s="6">
        <f t="shared" si="8"/>
        <v>142.0580808080808</v>
      </c>
      <c r="K18" s="6" t="s">
        <v>95</v>
      </c>
      <c r="L18" s="6">
        <v>2</v>
      </c>
      <c r="M18" s="6">
        <f>0</f>
        <v>0</v>
      </c>
      <c r="N18" s="6">
        <v>2</v>
      </c>
      <c r="O18" s="6">
        <f>0</f>
        <v>0</v>
      </c>
      <c r="P18" s="6">
        <v>9</v>
      </c>
      <c r="Q18" s="6">
        <f>0</f>
        <v>0</v>
      </c>
      <c r="R18" s="6">
        <v>9</v>
      </c>
      <c r="S18" s="6">
        <f>0</f>
        <v>0</v>
      </c>
      <c r="T18" s="6">
        <f>(3.66/2)</f>
        <v>1.83</v>
      </c>
      <c r="U18" s="6">
        <f>(6.48/2)</f>
        <v>3.24</v>
      </c>
      <c r="V18" s="6">
        <f t="shared" si="1"/>
        <v>18.629546400000002</v>
      </c>
      <c r="W18" s="6">
        <f>(3.9/2)</f>
        <v>1.95</v>
      </c>
      <c r="X18" s="6">
        <f>(6.18/2)</f>
        <v>3.09</v>
      </c>
      <c r="Y18" s="6">
        <f t="shared" si="2"/>
        <v>18.932120999999999</v>
      </c>
      <c r="Z18" s="6">
        <f>(4.24/2)</f>
        <v>2.12</v>
      </c>
      <c r="AA18" s="6">
        <f>(8.15/2)</f>
        <v>4.0750000000000002</v>
      </c>
      <c r="AB18" s="6">
        <f t="shared" ref="AB18:AB25" si="9">(Z18*AA18)*3.142</f>
        <v>27.143738000000003</v>
      </c>
      <c r="AC18" s="6">
        <f>(3.76/2)</f>
        <v>1.88</v>
      </c>
      <c r="AD18" s="6">
        <f>(8.53/2)</f>
        <v>4.2649999999999997</v>
      </c>
      <c r="AE18" s="6">
        <f t="shared" ref="AE18:AE25" si="10">(AC18*AD18)*3.142</f>
        <v>25.193184399999993</v>
      </c>
      <c r="AF18" s="6">
        <f>16.6</f>
        <v>16.600000000000001</v>
      </c>
      <c r="AG18" s="6">
        <f>16.2</f>
        <v>16.2</v>
      </c>
      <c r="AU18" s="6"/>
      <c r="BH18" s="6"/>
    </row>
    <row r="19" spans="1:60" x14ac:dyDescent="0.3">
      <c r="A19" s="5">
        <v>104007</v>
      </c>
      <c r="B19" s="6" t="s">
        <v>187</v>
      </c>
      <c r="C19" s="6" t="s">
        <v>47</v>
      </c>
      <c r="D19" s="6" t="s">
        <v>106</v>
      </c>
      <c r="E19" s="6">
        <v>3</v>
      </c>
      <c r="F19" s="6" t="s">
        <v>110</v>
      </c>
      <c r="G19" s="14">
        <f>48.1/2.2</f>
        <v>21.863636363636363</v>
      </c>
      <c r="H19" s="6">
        <f>102.9</f>
        <v>102.9</v>
      </c>
      <c r="I19" s="6">
        <f>76.2</f>
        <v>76.2</v>
      </c>
      <c r="J19" s="6">
        <f t="shared" si="8"/>
        <v>135.03937007874015</v>
      </c>
      <c r="K19" s="6" t="s">
        <v>95</v>
      </c>
      <c r="L19" s="8" t="s">
        <v>338</v>
      </c>
      <c r="M19" s="6">
        <f>(1.24/7.13)</f>
        <v>0.17391304347826086</v>
      </c>
      <c r="N19" s="8" t="s">
        <v>338</v>
      </c>
      <c r="O19" s="6">
        <f>(1.24/7.94)</f>
        <v>0.15617128463476071</v>
      </c>
      <c r="P19" s="13" t="s">
        <v>383</v>
      </c>
      <c r="Q19" s="6">
        <f>(1.2/13.2)</f>
        <v>9.0909090909090912E-2</v>
      </c>
      <c r="R19" s="13" t="s">
        <v>383</v>
      </c>
      <c r="S19" s="6">
        <f>(1.8/12.96)</f>
        <v>0.1388888888888889</v>
      </c>
      <c r="T19" s="6">
        <f>(4.43/2)</f>
        <v>2.2149999999999999</v>
      </c>
      <c r="U19" s="6">
        <f>(7.13/2)</f>
        <v>3.5649999999999999</v>
      </c>
      <c r="V19" s="6">
        <f t="shared" si="1"/>
        <v>24.810724449999999</v>
      </c>
      <c r="W19" s="6">
        <f>(3.76/2)</f>
        <v>1.88</v>
      </c>
      <c r="X19" s="6">
        <f>(7.94/2)</f>
        <v>3.97</v>
      </c>
      <c r="Y19" s="6">
        <f t="shared" si="2"/>
        <v>23.450631199999997</v>
      </c>
      <c r="Z19" s="6">
        <f>(5.1/2)</f>
        <v>2.5499999999999998</v>
      </c>
      <c r="AA19" s="6">
        <f>(9.62/2)</f>
        <v>4.8099999999999996</v>
      </c>
      <c r="AB19" s="6">
        <f t="shared" si="9"/>
        <v>38.538200999999994</v>
      </c>
      <c r="AC19" s="6">
        <f>(4.51/2)</f>
        <v>2.2549999999999999</v>
      </c>
      <c r="AD19" s="6">
        <f>(10.8/2)</f>
        <v>5.4</v>
      </c>
      <c r="AE19" s="6">
        <f t="shared" si="10"/>
        <v>38.260134000000001</v>
      </c>
      <c r="AF19" s="6">
        <f>13.2</f>
        <v>13.2</v>
      </c>
      <c r="AG19" s="6">
        <f>12.9</f>
        <v>12.9</v>
      </c>
      <c r="AU19" s="6"/>
      <c r="BH19" s="6"/>
    </row>
    <row r="20" spans="1:60" x14ac:dyDescent="0.3">
      <c r="A20" s="5">
        <v>103881</v>
      </c>
      <c r="B20" s="6" t="s">
        <v>155</v>
      </c>
      <c r="C20" s="6" t="s">
        <v>28</v>
      </c>
      <c r="D20" s="6" t="s">
        <v>126</v>
      </c>
      <c r="E20" s="6">
        <v>9</v>
      </c>
      <c r="F20" s="6" t="s">
        <v>109</v>
      </c>
      <c r="G20" s="14">
        <f>11.8/2.2</f>
        <v>5.3636363636363633</v>
      </c>
      <c r="H20" s="6">
        <v>79.209999999999994</v>
      </c>
      <c r="I20" s="6">
        <f>52.5</f>
        <v>52.5</v>
      </c>
      <c r="J20" s="6">
        <f t="shared" si="5"/>
        <v>150.87619047619046</v>
      </c>
      <c r="K20" s="6" t="s">
        <v>95</v>
      </c>
      <c r="L20" s="8" t="s">
        <v>338</v>
      </c>
      <c r="M20" s="6">
        <f>(2.7/4.8)</f>
        <v>0.56250000000000011</v>
      </c>
      <c r="N20" s="8" t="s">
        <v>338</v>
      </c>
      <c r="O20" s="6">
        <f>(3.3/5.11)</f>
        <v>0.64579256360078274</v>
      </c>
      <c r="P20" s="13" t="s">
        <v>383</v>
      </c>
      <c r="Q20" s="6">
        <f>(3/5.71)</f>
        <v>0.52539404553415059</v>
      </c>
      <c r="R20" s="13" t="s">
        <v>383</v>
      </c>
      <c r="S20" s="6">
        <f>(3.3/6.31)</f>
        <v>0.52297939778129954</v>
      </c>
      <c r="T20" s="6">
        <f>(2.83/2)</f>
        <v>1.415</v>
      </c>
      <c r="U20" s="6">
        <f>(4.8/2)</f>
        <v>2.4</v>
      </c>
      <c r="V20" s="6">
        <f t="shared" si="1"/>
        <v>10.670231999999999</v>
      </c>
      <c r="W20" s="6">
        <f>(2.83/2)</f>
        <v>1.415</v>
      </c>
      <c r="X20" s="6">
        <f>(5.11/2)</f>
        <v>2.5550000000000002</v>
      </c>
      <c r="Y20" s="6">
        <f t="shared" si="2"/>
        <v>11.35935115</v>
      </c>
      <c r="Z20" s="6">
        <f>(3.6/2)</f>
        <v>1.8</v>
      </c>
      <c r="AA20" s="6">
        <f>(5.71/2)</f>
        <v>2.855</v>
      </c>
      <c r="AB20" s="6">
        <f t="shared" si="9"/>
        <v>16.146737999999999</v>
      </c>
      <c r="AC20" s="6">
        <f>(4.21/2)</f>
        <v>2.105</v>
      </c>
      <c r="AD20" s="6">
        <f>(6.31/2)</f>
        <v>3.1549999999999998</v>
      </c>
      <c r="AE20" s="6">
        <f t="shared" si="10"/>
        <v>20.866886049999998</v>
      </c>
      <c r="AF20" s="6">
        <f>10.2</f>
        <v>10.199999999999999</v>
      </c>
      <c r="AG20" s="6">
        <f>9.6</f>
        <v>9.6</v>
      </c>
      <c r="AU20" s="6"/>
      <c r="BH20" s="6"/>
    </row>
    <row r="21" spans="1:60" x14ac:dyDescent="0.3">
      <c r="A21" s="5">
        <v>103920</v>
      </c>
      <c r="B21" s="6" t="s">
        <v>159</v>
      </c>
      <c r="C21" s="6" t="s">
        <v>33</v>
      </c>
      <c r="D21" s="6" t="s">
        <v>117</v>
      </c>
      <c r="E21" s="6">
        <v>11</v>
      </c>
      <c r="F21" s="6" t="s">
        <v>109</v>
      </c>
      <c r="G21" s="14">
        <f>30.2/2.2</f>
        <v>13.727272727272727</v>
      </c>
      <c r="H21" s="6">
        <f>103.2</f>
        <v>103.2</v>
      </c>
      <c r="I21" s="6">
        <f>73.5</f>
        <v>73.5</v>
      </c>
      <c r="J21" s="6">
        <f t="shared" si="5"/>
        <v>140.40816326530611</v>
      </c>
      <c r="K21" s="6" t="s">
        <v>95</v>
      </c>
      <c r="L21" s="8" t="s">
        <v>338</v>
      </c>
      <c r="M21" s="6">
        <f>(1.34/6.26)</f>
        <v>0.21405750798722048</v>
      </c>
      <c r="N21" s="8" t="s">
        <v>338</v>
      </c>
      <c r="O21" s="6">
        <f>(0.95/5.53)</f>
        <v>0.17179023508137431</v>
      </c>
      <c r="P21" s="13" t="s">
        <v>383</v>
      </c>
      <c r="Q21" s="6">
        <f>(2.7/8.7)</f>
        <v>0.31034482758620696</v>
      </c>
      <c r="R21" s="13" t="s">
        <v>383</v>
      </c>
      <c r="S21" s="6">
        <f>(1.5/7.8)</f>
        <v>0.19230769230769232</v>
      </c>
      <c r="T21" s="7">
        <f>(3.3/2)</f>
        <v>1.65</v>
      </c>
      <c r="U21" s="6">
        <f>(6.26/2)</f>
        <v>3.13</v>
      </c>
      <c r="V21" s="6">
        <f t="shared" si="1"/>
        <v>16.226858999999997</v>
      </c>
      <c r="W21" s="6">
        <f>(3.3/2)</f>
        <v>1.65</v>
      </c>
      <c r="X21" s="6">
        <f>(5.53/2)</f>
        <v>2.7650000000000001</v>
      </c>
      <c r="Y21" s="6">
        <f t="shared" si="2"/>
        <v>14.334589499999998</v>
      </c>
      <c r="Z21" s="6">
        <f>(4.5/2)</f>
        <v>2.25</v>
      </c>
      <c r="AA21" s="6">
        <f>(8.7/2)</f>
        <v>4.3499999999999996</v>
      </c>
      <c r="AB21" s="6">
        <f t="shared" si="9"/>
        <v>30.752324999999999</v>
      </c>
      <c r="AC21" s="6">
        <f>(4.8/2)</f>
        <v>2.4</v>
      </c>
      <c r="AD21" s="6">
        <f>(7.8/2)</f>
        <v>3.9</v>
      </c>
      <c r="AE21" s="6">
        <f t="shared" si="10"/>
        <v>29.409119999999998</v>
      </c>
      <c r="AF21" s="6">
        <f>14.3</f>
        <v>14.3</v>
      </c>
      <c r="AG21" s="6">
        <f>13.5</f>
        <v>13.5</v>
      </c>
      <c r="AU21" s="6"/>
      <c r="BH21" s="6"/>
    </row>
    <row r="22" spans="1:60" x14ac:dyDescent="0.3">
      <c r="A22" s="5">
        <v>103960</v>
      </c>
      <c r="B22" s="6" t="s">
        <v>182</v>
      </c>
      <c r="C22" s="6" t="s">
        <v>42</v>
      </c>
      <c r="D22" s="6" t="s">
        <v>235</v>
      </c>
      <c r="E22" s="6">
        <v>13</v>
      </c>
      <c r="F22" s="6" t="s">
        <v>109</v>
      </c>
      <c r="G22" s="14">
        <f>16.9/2.2</f>
        <v>7.6818181818181808</v>
      </c>
      <c r="H22" s="6">
        <f>86.1</f>
        <v>86.1</v>
      </c>
      <c r="I22" s="6">
        <f>67.8</f>
        <v>67.8</v>
      </c>
      <c r="J22" s="6">
        <f t="shared" si="5"/>
        <v>126.99115044247789</v>
      </c>
      <c r="K22" s="6" t="s">
        <v>95</v>
      </c>
      <c r="L22" s="6">
        <v>2</v>
      </c>
      <c r="M22" s="6">
        <f>0</f>
        <v>0</v>
      </c>
      <c r="N22" s="6" t="s">
        <v>373</v>
      </c>
      <c r="O22" s="6">
        <f>0</f>
        <v>0</v>
      </c>
      <c r="P22" s="13" t="s">
        <v>383</v>
      </c>
      <c r="Q22" s="6">
        <f>(1.5/4.8)</f>
        <v>0.3125</v>
      </c>
      <c r="R22" s="13" t="s">
        <v>383</v>
      </c>
      <c r="S22" s="6">
        <f>(1.8/4.8)</f>
        <v>0.375</v>
      </c>
      <c r="T22" s="6">
        <f>(5.4/2)</f>
        <v>2.7</v>
      </c>
      <c r="U22" s="6">
        <f>(5.4/2)</f>
        <v>2.7</v>
      </c>
      <c r="V22" s="6">
        <f t="shared" si="1"/>
        <v>22.905180000000001</v>
      </c>
      <c r="W22" s="6">
        <f>(5.7/2)</f>
        <v>2.85</v>
      </c>
      <c r="X22" s="6">
        <f>(5.71/2)</f>
        <v>2.855</v>
      </c>
      <c r="Y22" s="6">
        <f t="shared" si="2"/>
        <v>25.565668500000001</v>
      </c>
      <c r="Z22" s="6">
        <f>(5.7/2)</f>
        <v>2.85</v>
      </c>
      <c r="AA22" s="6">
        <f>(4.8/2)</f>
        <v>2.4</v>
      </c>
      <c r="AB22" s="6">
        <f t="shared" si="9"/>
        <v>21.49128</v>
      </c>
      <c r="AC22" s="6">
        <f>(5.1/2)</f>
        <v>2.5499999999999998</v>
      </c>
      <c r="AD22" s="6">
        <f>(4.8/2)</f>
        <v>2.4</v>
      </c>
      <c r="AE22" s="6">
        <f t="shared" si="10"/>
        <v>19.229039999999998</v>
      </c>
      <c r="AF22" s="6">
        <f>12.9</f>
        <v>12.9</v>
      </c>
      <c r="AG22" s="6">
        <f>13.5</f>
        <v>13.5</v>
      </c>
      <c r="AU22" s="6"/>
      <c r="BH22" s="6"/>
    </row>
    <row r="23" spans="1:60" x14ac:dyDescent="0.3">
      <c r="A23" s="5">
        <v>104031</v>
      </c>
      <c r="B23" s="6" t="s">
        <v>192</v>
      </c>
      <c r="C23" s="6" t="s">
        <v>52</v>
      </c>
      <c r="D23" s="6" t="s">
        <v>106</v>
      </c>
      <c r="E23" s="6">
        <v>5</v>
      </c>
      <c r="F23" s="6" t="s">
        <v>109</v>
      </c>
      <c r="G23" s="14">
        <f>57/2.2</f>
        <v>25.909090909090907</v>
      </c>
      <c r="H23" s="6">
        <f>95.4</f>
        <v>95.4</v>
      </c>
      <c r="I23" s="6">
        <f>87.9</f>
        <v>87.9</v>
      </c>
      <c r="J23" s="6">
        <f t="shared" ref="J23:J30" si="11">(H23*100)/I23</f>
        <v>108.53242320819112</v>
      </c>
      <c r="K23" s="6" t="s">
        <v>95</v>
      </c>
      <c r="L23" s="6">
        <v>2</v>
      </c>
      <c r="M23" s="6">
        <f>0</f>
        <v>0</v>
      </c>
      <c r="N23" s="6">
        <v>2</v>
      </c>
      <c r="O23" s="6">
        <f>0</f>
        <v>0</v>
      </c>
      <c r="P23" s="13" t="s">
        <v>383</v>
      </c>
      <c r="Q23" s="6">
        <f>(0.9/10.5)</f>
        <v>8.5714285714285715E-2</v>
      </c>
      <c r="R23" s="13" t="s">
        <v>383</v>
      </c>
      <c r="S23" s="6">
        <f>(0.95/10.82)</f>
        <v>8.7800369685767085E-2</v>
      </c>
      <c r="T23" s="6">
        <f>(4.51/2)</f>
        <v>2.2549999999999999</v>
      </c>
      <c r="U23" s="6">
        <f>(6.36/2)</f>
        <v>3.18</v>
      </c>
      <c r="V23" s="6">
        <f t="shared" si="1"/>
        <v>22.530967799999999</v>
      </c>
      <c r="W23" s="6">
        <f>(4.57/2)</f>
        <v>2.2850000000000001</v>
      </c>
      <c r="X23" s="6">
        <f>(6.55/2)</f>
        <v>3.2749999999999999</v>
      </c>
      <c r="Y23" s="6">
        <f t="shared" si="2"/>
        <v>23.51276425</v>
      </c>
      <c r="Z23" s="6">
        <f>(4.8/2)</f>
        <v>2.4</v>
      </c>
      <c r="AA23" s="6">
        <f>(10.5/2)</f>
        <v>5.25</v>
      </c>
      <c r="AB23" s="6">
        <f t="shared" si="9"/>
        <v>39.589199999999998</v>
      </c>
      <c r="AC23" s="6">
        <f>(5.11/2)</f>
        <v>2.5550000000000002</v>
      </c>
      <c r="AD23" s="6">
        <f>(10.8/2)</f>
        <v>5.4</v>
      </c>
      <c r="AE23" s="6">
        <f t="shared" si="10"/>
        <v>43.350174000000003</v>
      </c>
      <c r="AF23" s="6">
        <f>16.8</f>
        <v>16.8</v>
      </c>
      <c r="AG23" s="6">
        <f>16.5</f>
        <v>16.5</v>
      </c>
      <c r="AU23" s="6"/>
      <c r="BH23" s="6"/>
    </row>
    <row r="24" spans="1:60" x14ac:dyDescent="0.3">
      <c r="A24" s="5">
        <v>2906</v>
      </c>
      <c r="B24" s="6" t="s">
        <v>197</v>
      </c>
      <c r="C24" s="6" t="s">
        <v>57</v>
      </c>
      <c r="D24" s="6" t="s">
        <v>117</v>
      </c>
      <c r="E24" s="6">
        <v>2</v>
      </c>
      <c r="F24" s="6" t="s">
        <v>97</v>
      </c>
      <c r="G24" s="14">
        <f>37.6/2.2</f>
        <v>17.09090909090909</v>
      </c>
      <c r="H24" s="6">
        <f>97.2</f>
        <v>97.2</v>
      </c>
      <c r="I24" s="6">
        <f>76.8</f>
        <v>76.8</v>
      </c>
      <c r="J24" s="6">
        <f t="shared" si="11"/>
        <v>126.5625</v>
      </c>
      <c r="K24" s="6" t="s">
        <v>95</v>
      </c>
      <c r="L24" s="7">
        <v>2</v>
      </c>
      <c r="M24" s="6">
        <f>0</f>
        <v>0</v>
      </c>
      <c r="N24" s="7">
        <v>2</v>
      </c>
      <c r="O24" s="6">
        <f>0</f>
        <v>0</v>
      </c>
      <c r="P24" s="6">
        <v>9</v>
      </c>
      <c r="Q24" s="6">
        <f>0</f>
        <v>0</v>
      </c>
      <c r="R24" s="13" t="s">
        <v>383</v>
      </c>
      <c r="S24" s="6">
        <f>(1.2/9.6)</f>
        <v>0.125</v>
      </c>
      <c r="T24" s="6">
        <f>(3.42/2)</f>
        <v>1.71</v>
      </c>
      <c r="U24" s="6">
        <f>(6.71/2)</f>
        <v>3.355</v>
      </c>
      <c r="V24" s="6">
        <f t="shared" si="1"/>
        <v>18.025811099999999</v>
      </c>
      <c r="W24" s="6">
        <f>(3.35/2)</f>
        <v>1.675</v>
      </c>
      <c r="X24" s="6">
        <f>(5.73/2)</f>
        <v>2.8650000000000002</v>
      </c>
      <c r="Y24" s="6">
        <f t="shared" si="2"/>
        <v>15.078065250000002</v>
      </c>
      <c r="Z24" s="6">
        <f>(3.91/2)</f>
        <v>1.9550000000000001</v>
      </c>
      <c r="AA24" s="6">
        <f>(8.41/2)</f>
        <v>4.2050000000000001</v>
      </c>
      <c r="AB24" s="6">
        <f t="shared" si="9"/>
        <v>25.829675049999999</v>
      </c>
      <c r="AC24" s="6">
        <f>(4.5/2)</f>
        <v>2.25</v>
      </c>
      <c r="AD24" s="6">
        <f>(9.6/2)</f>
        <v>4.8</v>
      </c>
      <c r="AE24" s="6">
        <f t="shared" si="10"/>
        <v>33.933599999999998</v>
      </c>
      <c r="AF24" s="6">
        <f>14.1</f>
        <v>14.1</v>
      </c>
      <c r="AG24" s="6">
        <v>14.1</v>
      </c>
      <c r="AU24" s="6"/>
      <c r="BH24" s="6"/>
    </row>
    <row r="25" spans="1:60" x14ac:dyDescent="0.3">
      <c r="A25" s="5">
        <v>104019</v>
      </c>
      <c r="B25" s="6" t="s">
        <v>198</v>
      </c>
      <c r="C25" s="6" t="s">
        <v>58</v>
      </c>
      <c r="D25" s="6" t="s">
        <v>173</v>
      </c>
      <c r="E25" s="6">
        <v>8</v>
      </c>
      <c r="F25" s="6" t="s">
        <v>109</v>
      </c>
      <c r="G25" s="14">
        <f>69.1/2.2</f>
        <v>31.409090909090903</v>
      </c>
      <c r="H25" s="6">
        <f>99.3</f>
        <v>99.3</v>
      </c>
      <c r="I25" s="6">
        <f>93.6</f>
        <v>93.6</v>
      </c>
      <c r="J25" s="6">
        <f t="shared" si="11"/>
        <v>106.08974358974359</v>
      </c>
      <c r="K25" s="6" t="s">
        <v>95</v>
      </c>
      <c r="L25" s="6">
        <v>2</v>
      </c>
      <c r="M25" s="6">
        <f>0</f>
        <v>0</v>
      </c>
      <c r="N25" s="6">
        <v>2</v>
      </c>
      <c r="O25" s="6">
        <f>0</f>
        <v>0</v>
      </c>
      <c r="P25" s="6">
        <v>9</v>
      </c>
      <c r="Q25" s="6">
        <f>0</f>
        <v>0</v>
      </c>
      <c r="R25" s="6">
        <v>9</v>
      </c>
      <c r="S25" s="6">
        <f>0</f>
        <v>0</v>
      </c>
      <c r="T25" s="6">
        <f>(4.2/2)</f>
        <v>2.1</v>
      </c>
      <c r="U25" s="6">
        <f>(6.3/2)</f>
        <v>3.15</v>
      </c>
      <c r="V25" s="6">
        <f t="shared" si="1"/>
        <v>20.784330000000001</v>
      </c>
      <c r="W25" s="6">
        <f>(3.6/2)</f>
        <v>1.8</v>
      </c>
      <c r="X25" s="6">
        <f>(6.3/2)</f>
        <v>3.15</v>
      </c>
      <c r="Y25" s="6">
        <f t="shared" si="2"/>
        <v>17.81514</v>
      </c>
      <c r="Z25" s="6">
        <f>(3.51/2)</f>
        <v>1.7549999999999999</v>
      </c>
      <c r="AA25" s="6">
        <f>(10.48/2)</f>
        <v>5.24</v>
      </c>
      <c r="AB25" s="6">
        <f t="shared" si="9"/>
        <v>28.894460399999996</v>
      </c>
      <c r="AC25" s="6">
        <f>(3.76/2)</f>
        <v>1.88</v>
      </c>
      <c r="AD25" s="6">
        <f>(9.77/2)</f>
        <v>4.8849999999999998</v>
      </c>
      <c r="AE25" s="6">
        <f t="shared" si="10"/>
        <v>28.855499599999998</v>
      </c>
      <c r="AF25" s="6">
        <f>18.6</f>
        <v>18.600000000000001</v>
      </c>
      <c r="AG25" s="6">
        <f>17.1</f>
        <v>17.100000000000001</v>
      </c>
      <c r="AU25" s="6"/>
      <c r="BH25" s="6"/>
    </row>
    <row r="26" spans="1:60" x14ac:dyDescent="0.3">
      <c r="A26" s="5">
        <v>103999</v>
      </c>
      <c r="B26" s="6" t="s">
        <v>190</v>
      </c>
      <c r="C26" s="6" t="s">
        <v>49</v>
      </c>
      <c r="D26" s="6" t="s">
        <v>234</v>
      </c>
      <c r="E26" s="6">
        <v>2</v>
      </c>
      <c r="F26" s="6" t="s">
        <v>110</v>
      </c>
      <c r="G26" s="14">
        <f>29.3/2.2</f>
        <v>13.318181818181817</v>
      </c>
      <c r="H26" s="6">
        <f>91.81</f>
        <v>91.81</v>
      </c>
      <c r="I26" s="6">
        <f>66</f>
        <v>66</v>
      </c>
      <c r="J26" s="6">
        <f t="shared" si="11"/>
        <v>139.10606060606059</v>
      </c>
      <c r="K26" s="6" t="s">
        <v>95</v>
      </c>
      <c r="L26" s="6">
        <v>2</v>
      </c>
      <c r="M26" s="6">
        <f>0</f>
        <v>0</v>
      </c>
      <c r="N26" s="6">
        <v>2</v>
      </c>
      <c r="O26" s="6">
        <f>0</f>
        <v>0</v>
      </c>
      <c r="P26" s="12">
        <v>13</v>
      </c>
      <c r="Q26" s="6" t="s">
        <v>331</v>
      </c>
      <c r="R26" s="12">
        <v>13</v>
      </c>
      <c r="S26" s="6" t="s">
        <v>331</v>
      </c>
      <c r="T26" s="6">
        <f>(3.01/2)</f>
        <v>1.5049999999999999</v>
      </c>
      <c r="U26" s="6">
        <f>(5.43/2)</f>
        <v>2.7149999999999999</v>
      </c>
      <c r="V26" s="6">
        <f t="shared" si="1"/>
        <v>12.838447649999997</v>
      </c>
      <c r="W26" s="6">
        <f>(3/2)</f>
        <v>1.5</v>
      </c>
      <c r="X26" s="6">
        <f>(6.31/2)</f>
        <v>3.1549999999999998</v>
      </c>
      <c r="Y26" s="6">
        <f t="shared" si="2"/>
        <v>14.869515</v>
      </c>
      <c r="Z26" s="6" t="s">
        <v>368</v>
      </c>
      <c r="AA26" s="6" t="s">
        <v>368</v>
      </c>
      <c r="AB26" s="6" t="s">
        <v>368</v>
      </c>
      <c r="AC26" s="6" t="s">
        <v>368</v>
      </c>
      <c r="AD26" s="6" t="s">
        <v>368</v>
      </c>
      <c r="AE26" s="6" t="s">
        <v>368</v>
      </c>
      <c r="AF26" s="6">
        <f>12.6</f>
        <v>12.6</v>
      </c>
      <c r="AG26" s="6">
        <f>12.4</f>
        <v>12.4</v>
      </c>
      <c r="AU26" s="6"/>
      <c r="BH26" s="6"/>
    </row>
    <row r="27" spans="1:60" x14ac:dyDescent="0.3">
      <c r="A27" s="5">
        <v>104033</v>
      </c>
      <c r="B27" s="6" t="s">
        <v>193</v>
      </c>
      <c r="C27" s="6" t="s">
        <v>53</v>
      </c>
      <c r="D27" s="6" t="s">
        <v>234</v>
      </c>
      <c r="E27" s="6">
        <v>8</v>
      </c>
      <c r="F27" s="6" t="s">
        <v>109</v>
      </c>
      <c r="G27" s="14">
        <f>43.2/2.2</f>
        <v>19.636363636363637</v>
      </c>
      <c r="H27" s="6">
        <f>107.71</f>
        <v>107.71</v>
      </c>
      <c r="I27" s="6">
        <f>87.3</f>
        <v>87.3</v>
      </c>
      <c r="J27" s="6">
        <f t="shared" si="11"/>
        <v>123.37915234822452</v>
      </c>
      <c r="K27" s="6" t="s">
        <v>95</v>
      </c>
      <c r="L27" s="6">
        <v>2</v>
      </c>
      <c r="M27" s="6">
        <f>0</f>
        <v>0</v>
      </c>
      <c r="N27" s="6">
        <v>2</v>
      </c>
      <c r="O27" s="6">
        <f>0</f>
        <v>0</v>
      </c>
      <c r="P27" s="6">
        <v>9</v>
      </c>
      <c r="Q27" s="6">
        <f>0</f>
        <v>0</v>
      </c>
      <c r="R27" s="6">
        <v>9</v>
      </c>
      <c r="S27" s="6">
        <f>0</f>
        <v>0</v>
      </c>
      <c r="T27" s="6">
        <f>(4.66/2)</f>
        <v>2.33</v>
      </c>
      <c r="U27" s="6">
        <f>(6.31/2)</f>
        <v>3.1549999999999998</v>
      </c>
      <c r="V27" s="6">
        <f t="shared" si="1"/>
        <v>23.0973133</v>
      </c>
      <c r="W27" s="6">
        <f>(4.21/2)</f>
        <v>2.105</v>
      </c>
      <c r="X27" s="6">
        <f>(6.77/2)</f>
        <v>3.3849999999999998</v>
      </c>
      <c r="Y27" s="6">
        <f t="shared" si="2"/>
        <v>22.388085349999997</v>
      </c>
      <c r="Z27" s="6">
        <f>(4.8/2)</f>
        <v>2.4</v>
      </c>
      <c r="AA27" s="6">
        <f>(9.3/2)</f>
        <v>4.6500000000000004</v>
      </c>
      <c r="AB27" s="6">
        <f>(Z27*AA27)*3.142</f>
        <v>35.064720000000001</v>
      </c>
      <c r="AC27" s="6">
        <f>(4.24/2)</f>
        <v>2.12</v>
      </c>
      <c r="AD27" s="6">
        <f>(8.41/2)</f>
        <v>4.2050000000000001</v>
      </c>
      <c r="AE27" s="6">
        <f>(AC27*AD27)*3.142</f>
        <v>28.009673199999998</v>
      </c>
      <c r="AF27" s="6">
        <f>13.8</f>
        <v>13.8</v>
      </c>
      <c r="AG27" s="6">
        <f>13.8</f>
        <v>13.8</v>
      </c>
      <c r="AU27" s="6"/>
      <c r="BH27" s="6"/>
    </row>
    <row r="28" spans="1:60" x14ac:dyDescent="0.3">
      <c r="A28" s="5">
        <v>104085</v>
      </c>
      <c r="B28" s="6" t="s">
        <v>199</v>
      </c>
      <c r="C28" s="6" t="s">
        <v>59</v>
      </c>
      <c r="D28" s="6" t="s">
        <v>234</v>
      </c>
      <c r="E28" s="6">
        <v>11</v>
      </c>
      <c r="F28" s="6" t="s">
        <v>110</v>
      </c>
      <c r="G28" s="14">
        <f>38.7/2.2</f>
        <v>17.59090909090909</v>
      </c>
      <c r="H28" s="6">
        <f>95.11</f>
        <v>95.11</v>
      </c>
      <c r="I28" s="6">
        <f>78.9</f>
        <v>78.900000000000006</v>
      </c>
      <c r="J28" s="6">
        <f t="shared" si="11"/>
        <v>120.54499366286437</v>
      </c>
      <c r="K28" s="6" t="s">
        <v>95</v>
      </c>
      <c r="L28" s="6">
        <v>2</v>
      </c>
      <c r="M28" s="6">
        <f>0</f>
        <v>0</v>
      </c>
      <c r="N28" s="6">
        <v>2</v>
      </c>
      <c r="O28" s="6">
        <f>0</f>
        <v>0</v>
      </c>
      <c r="P28" s="6">
        <v>9</v>
      </c>
      <c r="Q28" s="6">
        <f>0</f>
        <v>0</v>
      </c>
      <c r="R28" s="6">
        <v>9</v>
      </c>
      <c r="S28" s="6">
        <f>0</f>
        <v>0</v>
      </c>
      <c r="T28" s="6">
        <f>(3.5/2)</f>
        <v>1.75</v>
      </c>
      <c r="U28" s="6">
        <f>(5.53/2)</f>
        <v>2.7650000000000001</v>
      </c>
      <c r="V28" s="6">
        <f t="shared" si="1"/>
        <v>15.203352499999999</v>
      </c>
      <c r="W28" s="6">
        <f>(3.91/2)</f>
        <v>1.9550000000000001</v>
      </c>
      <c r="X28" s="6">
        <f>(6.31/2)</f>
        <v>3.1549999999999998</v>
      </c>
      <c r="Y28" s="6">
        <f t="shared" si="2"/>
        <v>19.379934549999998</v>
      </c>
      <c r="Z28" s="6">
        <f>(3.91/2)</f>
        <v>1.9550000000000001</v>
      </c>
      <c r="AA28" s="6">
        <f>(8.12/2)</f>
        <v>4.0599999999999996</v>
      </c>
      <c r="AB28" s="6">
        <f>(Z28*AA28)*3.142</f>
        <v>24.938996599999999</v>
      </c>
      <c r="AC28" s="6">
        <f>(4.2/2)</f>
        <v>2.1</v>
      </c>
      <c r="AD28" s="6">
        <f>(8.11/2)</f>
        <v>4.0549999999999997</v>
      </c>
      <c r="AE28" s="6">
        <f>(AC28*AD28)*3.142</f>
        <v>26.755700999999998</v>
      </c>
      <c r="AF28" s="6">
        <f>13.8</f>
        <v>13.8</v>
      </c>
      <c r="AG28" s="6">
        <f>14.4</f>
        <v>14.4</v>
      </c>
      <c r="AU28" s="6"/>
      <c r="BH28" s="6"/>
    </row>
    <row r="29" spans="1:60" x14ac:dyDescent="0.3">
      <c r="A29" s="5">
        <v>104043</v>
      </c>
      <c r="B29" s="6" t="s">
        <v>194</v>
      </c>
      <c r="C29" s="6" t="s">
        <v>54</v>
      </c>
      <c r="D29" s="6" t="s">
        <v>127</v>
      </c>
      <c r="E29" s="6">
        <v>4</v>
      </c>
      <c r="F29" s="6" t="s">
        <v>109</v>
      </c>
      <c r="G29" s="14">
        <f>10.6/2.2</f>
        <v>4.8181818181818175</v>
      </c>
      <c r="H29" s="6">
        <f>82.5</f>
        <v>82.5</v>
      </c>
      <c r="I29" s="6">
        <f>58.8</f>
        <v>58.8</v>
      </c>
      <c r="J29" s="6">
        <f t="shared" si="11"/>
        <v>140.30612244897961</v>
      </c>
      <c r="K29" s="6" t="s">
        <v>95</v>
      </c>
      <c r="L29" s="6" t="s">
        <v>372</v>
      </c>
      <c r="M29" s="6">
        <f>0</f>
        <v>0</v>
      </c>
      <c r="N29" s="6" t="s">
        <v>372</v>
      </c>
      <c r="O29" s="6">
        <f>0</f>
        <v>0</v>
      </c>
      <c r="P29" s="12">
        <v>13</v>
      </c>
      <c r="Q29" s="6" t="s">
        <v>331</v>
      </c>
      <c r="R29" s="12">
        <v>13</v>
      </c>
      <c r="S29" s="6" t="s">
        <v>331</v>
      </c>
      <c r="T29" s="6">
        <f>(4.74/2)</f>
        <v>2.37</v>
      </c>
      <c r="U29" s="6">
        <f>(5.53/2)</f>
        <v>2.7650000000000001</v>
      </c>
      <c r="V29" s="6">
        <f t="shared" si="1"/>
        <v>20.589683100000002</v>
      </c>
      <c r="W29" s="6">
        <f>(4.57/2)</f>
        <v>2.2850000000000001</v>
      </c>
      <c r="X29" s="6">
        <f>(5.24/2)</f>
        <v>2.62</v>
      </c>
      <c r="Y29" s="6">
        <f t="shared" si="2"/>
        <v>18.810211400000004</v>
      </c>
      <c r="Z29" s="6" t="s">
        <v>368</v>
      </c>
      <c r="AA29" s="6" t="s">
        <v>368</v>
      </c>
      <c r="AB29" s="6" t="s">
        <v>368</v>
      </c>
      <c r="AC29" s="6" t="s">
        <v>368</v>
      </c>
      <c r="AD29" s="6" t="s">
        <v>368</v>
      </c>
      <c r="AE29" s="6" t="s">
        <v>368</v>
      </c>
      <c r="AF29" s="6">
        <f>11.4</f>
        <v>11.4</v>
      </c>
      <c r="AG29" s="6">
        <f>11.1</f>
        <v>11.1</v>
      </c>
      <c r="AU29" s="6"/>
      <c r="BH29" s="6"/>
    </row>
    <row r="30" spans="1:60" x14ac:dyDescent="0.3">
      <c r="A30" s="5">
        <v>2730</v>
      </c>
      <c r="B30" s="6" t="s">
        <v>204</v>
      </c>
      <c r="C30" s="6" t="s">
        <v>64</v>
      </c>
      <c r="D30" s="6" t="s">
        <v>231</v>
      </c>
      <c r="E30" s="6">
        <v>12</v>
      </c>
      <c r="F30" s="6" t="s">
        <v>109</v>
      </c>
      <c r="G30" s="14">
        <f>18/2.2</f>
        <v>8.1818181818181817</v>
      </c>
      <c r="H30" s="6">
        <f>85.5</f>
        <v>85.5</v>
      </c>
      <c r="I30" s="6">
        <f>61.8</f>
        <v>61.8</v>
      </c>
      <c r="J30" s="6">
        <f t="shared" si="11"/>
        <v>138.34951456310679</v>
      </c>
      <c r="K30" s="6" t="s">
        <v>95</v>
      </c>
      <c r="L30" s="8" t="s">
        <v>338</v>
      </c>
      <c r="M30" s="6">
        <f>(1.24/4.51)</f>
        <v>0.27494456762749447</v>
      </c>
      <c r="N30" s="8" t="s">
        <v>338</v>
      </c>
      <c r="O30" s="6">
        <f>(1.53/5.24)</f>
        <v>0.2919847328244275</v>
      </c>
      <c r="P30" s="12">
        <v>13</v>
      </c>
      <c r="Q30" s="6" t="s">
        <v>331</v>
      </c>
      <c r="R30" s="12">
        <v>13</v>
      </c>
      <c r="S30" s="6" t="s">
        <v>331</v>
      </c>
      <c r="T30" s="6">
        <f>(3/2)</f>
        <v>1.5</v>
      </c>
      <c r="U30" s="6">
        <f>(4.51/2)</f>
        <v>2.2549999999999999</v>
      </c>
      <c r="V30" s="6">
        <f t="shared" si="1"/>
        <v>10.627815</v>
      </c>
      <c r="W30" s="6">
        <f>(2.7/2)</f>
        <v>1.35</v>
      </c>
      <c r="X30" s="6">
        <f>(5.24/2)</f>
        <v>2.62</v>
      </c>
      <c r="Y30" s="6">
        <f t="shared" si="2"/>
        <v>11.113254000000001</v>
      </c>
      <c r="Z30" s="6" t="s">
        <v>368</v>
      </c>
      <c r="AA30" s="6" t="s">
        <v>368</v>
      </c>
      <c r="AB30" s="6" t="s">
        <v>368</v>
      </c>
      <c r="AC30" s="6" t="s">
        <v>368</v>
      </c>
      <c r="AD30" s="6" t="s">
        <v>368</v>
      </c>
      <c r="AE30" s="6" t="s">
        <v>368</v>
      </c>
      <c r="AF30" s="6">
        <f>10.8</f>
        <v>10.8</v>
      </c>
      <c r="AG30" s="6">
        <f>9.9</f>
        <v>9.9</v>
      </c>
      <c r="AU30" s="6"/>
      <c r="BH30" s="6"/>
    </row>
    <row r="31" spans="1:60" x14ac:dyDescent="0.3">
      <c r="A31" s="5">
        <v>104181</v>
      </c>
      <c r="B31" s="6" t="s">
        <v>216</v>
      </c>
      <c r="C31" s="6" t="s">
        <v>76</v>
      </c>
      <c r="D31" s="6" t="s">
        <v>173</v>
      </c>
      <c r="E31" s="6">
        <v>6</v>
      </c>
      <c r="F31" s="6" t="s">
        <v>110</v>
      </c>
      <c r="G31" s="14">
        <f>69.5/2.2</f>
        <v>31.59090909090909</v>
      </c>
      <c r="H31" s="6">
        <f>115.2</f>
        <v>115.2</v>
      </c>
      <c r="I31" s="6">
        <f>92.4</f>
        <v>92.4</v>
      </c>
      <c r="J31" s="6">
        <f t="shared" ref="J31" si="12">(H31*100)/I31</f>
        <v>124.67532467532467</v>
      </c>
      <c r="K31" s="6" t="s">
        <v>95</v>
      </c>
      <c r="L31" s="6">
        <v>2</v>
      </c>
      <c r="M31" s="6">
        <f>0</f>
        <v>0</v>
      </c>
      <c r="N31" s="6">
        <v>2</v>
      </c>
      <c r="O31" s="6">
        <f>0</f>
        <v>0</v>
      </c>
      <c r="P31" s="6">
        <v>9</v>
      </c>
      <c r="Q31" s="6">
        <f>0</f>
        <v>0</v>
      </c>
      <c r="R31" s="6">
        <v>9</v>
      </c>
      <c r="S31" s="6">
        <f>0</f>
        <v>0</v>
      </c>
      <c r="T31" s="6">
        <f>(4.59/2)</f>
        <v>2.2949999999999999</v>
      </c>
      <c r="U31" s="6">
        <f>(7.52/2)</f>
        <v>3.76</v>
      </c>
      <c r="V31" s="6">
        <f t="shared" si="1"/>
        <v>27.112946399999995</v>
      </c>
      <c r="W31" s="7">
        <f>(5.71/2)</f>
        <v>2.855</v>
      </c>
      <c r="X31" s="9">
        <f>(7.22/2)</f>
        <v>3.61</v>
      </c>
      <c r="Y31" s="6">
        <f t="shared" si="2"/>
        <v>32.383180099999997</v>
      </c>
      <c r="Z31" s="6">
        <f>(4.6/2)</f>
        <v>2.2999999999999998</v>
      </c>
      <c r="AA31" s="6">
        <f>(8.12/2)</f>
        <v>4.0599999999999996</v>
      </c>
      <c r="AB31" s="6">
        <f>(Z31*AA31)*3.142</f>
        <v>29.339995999999996</v>
      </c>
      <c r="AC31" s="6">
        <f>(4.51/2)</f>
        <v>2.2549999999999999</v>
      </c>
      <c r="AD31" s="6">
        <f>(8.11/2)</f>
        <v>4.0549999999999997</v>
      </c>
      <c r="AE31" s="6">
        <f>(AC31*AD31)*3.142</f>
        <v>28.730526549999997</v>
      </c>
      <c r="AF31" s="6">
        <f>16.5</f>
        <v>16.5</v>
      </c>
      <c r="AG31" s="6">
        <f>16.2</f>
        <v>16.2</v>
      </c>
      <c r="AU31" s="6"/>
      <c r="BH31" s="6"/>
    </row>
    <row r="32" spans="1:60" x14ac:dyDescent="0.3">
      <c r="A32" s="5">
        <v>2321</v>
      </c>
      <c r="B32" s="6" t="s">
        <v>208</v>
      </c>
      <c r="C32" s="6" t="s">
        <v>69</v>
      </c>
      <c r="D32" s="6" t="s">
        <v>246</v>
      </c>
      <c r="E32" s="6">
        <v>13</v>
      </c>
      <c r="F32" s="6" t="s">
        <v>97</v>
      </c>
      <c r="G32" s="14">
        <f>11.8/2.2</f>
        <v>5.3636363636363633</v>
      </c>
      <c r="H32" s="6">
        <f>73.5</f>
        <v>73.5</v>
      </c>
      <c r="I32" s="6">
        <f>47.7</f>
        <v>47.7</v>
      </c>
      <c r="J32" s="6">
        <f>(H32*100)/I32</f>
        <v>154.08805031446539</v>
      </c>
      <c r="K32" s="6" t="s">
        <v>95</v>
      </c>
      <c r="L32" s="6" t="s">
        <v>369</v>
      </c>
      <c r="M32" s="6">
        <f>0</f>
        <v>0</v>
      </c>
      <c r="N32" s="6" t="s">
        <v>369</v>
      </c>
      <c r="O32" s="6">
        <f>0</f>
        <v>0</v>
      </c>
      <c r="P32" s="13" t="s">
        <v>383</v>
      </c>
      <c r="Q32" s="6">
        <f>(3/6.6)</f>
        <v>0.45454545454545459</v>
      </c>
      <c r="R32" s="13" t="s">
        <v>383</v>
      </c>
      <c r="S32" s="6">
        <f>(2.7/6.6)</f>
        <v>0.40909090909090912</v>
      </c>
      <c r="T32" s="6">
        <f>(3.6/2)</f>
        <v>1.8</v>
      </c>
      <c r="U32" s="6">
        <f>(3.9/2)</f>
        <v>1.95</v>
      </c>
      <c r="V32" s="6">
        <f t="shared" si="1"/>
        <v>11.028419999999999</v>
      </c>
      <c r="W32" s="6">
        <f>(3.6/2)</f>
        <v>1.8</v>
      </c>
      <c r="X32" s="6">
        <f>(3.6/2)</f>
        <v>1.8</v>
      </c>
      <c r="Y32" s="6">
        <f t="shared" si="2"/>
        <v>10.18008</v>
      </c>
      <c r="Z32" s="6">
        <f>(3.9/2)</f>
        <v>1.95</v>
      </c>
      <c r="AA32" s="6">
        <f>(6.6/2)</f>
        <v>3.3</v>
      </c>
      <c r="AB32" s="6">
        <f>(Z32*AA32)*3.142</f>
        <v>20.218769999999999</v>
      </c>
      <c r="AC32" s="6">
        <f>(4.21/2)</f>
        <v>2.105</v>
      </c>
      <c r="AD32" s="6">
        <f>(6.6/2)</f>
        <v>3.3</v>
      </c>
      <c r="AE32" s="6">
        <f>(AC32*AD32)*3.142</f>
        <v>21.825902999999997</v>
      </c>
      <c r="AF32" s="6">
        <f>10</f>
        <v>10</v>
      </c>
      <c r="AG32" s="6">
        <f>10.1</f>
        <v>10.1</v>
      </c>
      <c r="AU32" s="6"/>
      <c r="BH32" s="6"/>
    </row>
    <row r="33" spans="1:60" x14ac:dyDescent="0.3">
      <c r="A33" s="5">
        <v>103947</v>
      </c>
      <c r="B33" s="6" t="s">
        <v>160</v>
      </c>
      <c r="C33" s="6" t="s">
        <v>34</v>
      </c>
      <c r="D33" s="6" t="s">
        <v>231</v>
      </c>
      <c r="E33" s="6">
        <v>7</v>
      </c>
      <c r="F33" s="6" t="s">
        <v>110</v>
      </c>
      <c r="G33" s="14">
        <f>19.9/2.2</f>
        <v>9.0454545454545432</v>
      </c>
      <c r="H33" s="6">
        <f>82.51</f>
        <v>82.51</v>
      </c>
      <c r="I33" s="6">
        <v>50</v>
      </c>
      <c r="J33" s="6">
        <f>(H33*100)/I33</f>
        <v>165.02</v>
      </c>
      <c r="K33" s="6" t="s">
        <v>95</v>
      </c>
      <c r="L33" s="6">
        <v>2</v>
      </c>
      <c r="M33" s="6">
        <f>0</f>
        <v>0</v>
      </c>
      <c r="N33" s="8" t="s">
        <v>338</v>
      </c>
      <c r="O33" s="6">
        <f>(0.6/5.4)</f>
        <v>0.1111111111111111</v>
      </c>
      <c r="P33" s="12">
        <v>13</v>
      </c>
      <c r="Q33" s="6" t="s">
        <v>331</v>
      </c>
      <c r="R33" s="12">
        <v>13</v>
      </c>
      <c r="S33" s="6" t="s">
        <v>331</v>
      </c>
      <c r="T33" s="6">
        <f>(3.3/2)</f>
        <v>1.65</v>
      </c>
      <c r="U33" s="6">
        <f>(5.11/2)</f>
        <v>2.5550000000000002</v>
      </c>
      <c r="V33" s="6">
        <f t="shared" si="1"/>
        <v>13.245886499999999</v>
      </c>
      <c r="W33" s="6">
        <f>(3.6/2)</f>
        <v>1.8</v>
      </c>
      <c r="X33" s="6">
        <f>(5.4/2)</f>
        <v>2.7</v>
      </c>
      <c r="Y33" s="6">
        <f t="shared" si="2"/>
        <v>15.27012</v>
      </c>
      <c r="Z33" s="6" t="s">
        <v>368</v>
      </c>
      <c r="AA33" s="6" t="s">
        <v>368</v>
      </c>
      <c r="AB33" s="6" t="s">
        <v>368</v>
      </c>
      <c r="AC33" s="6" t="s">
        <v>368</v>
      </c>
      <c r="AD33" s="6" t="s">
        <v>368</v>
      </c>
      <c r="AE33" s="6" t="s">
        <v>368</v>
      </c>
      <c r="AF33" s="6">
        <f>9.8</f>
        <v>9.8000000000000007</v>
      </c>
      <c r="AG33" s="6">
        <f>10</f>
        <v>10</v>
      </c>
      <c r="AU33" s="6"/>
      <c r="BH33" s="6"/>
    </row>
    <row r="34" spans="1:60" x14ac:dyDescent="0.3">
      <c r="A34" s="5">
        <v>2441</v>
      </c>
      <c r="B34" s="6" t="s">
        <v>275</v>
      </c>
      <c r="C34" s="6" t="s">
        <v>67</v>
      </c>
      <c r="D34" s="6" t="s">
        <v>245</v>
      </c>
      <c r="E34" s="6">
        <v>8</v>
      </c>
      <c r="F34" s="6" t="s">
        <v>110</v>
      </c>
      <c r="G34" s="14">
        <f>50.6/2.2</f>
        <v>23</v>
      </c>
      <c r="H34" s="6">
        <f>104.1</f>
        <v>104.1</v>
      </c>
      <c r="I34" s="6">
        <f>94.58</f>
        <v>94.58</v>
      </c>
      <c r="J34" s="6">
        <f>(H34*100)/I34</f>
        <v>110.06555297102982</v>
      </c>
      <c r="K34" s="6" t="s">
        <v>95</v>
      </c>
      <c r="L34" s="6">
        <f>2</f>
        <v>2</v>
      </c>
      <c r="M34" s="6">
        <f>0</f>
        <v>0</v>
      </c>
      <c r="N34" s="6" t="s">
        <v>369</v>
      </c>
      <c r="O34" s="6">
        <f>0</f>
        <v>0</v>
      </c>
      <c r="P34" s="6">
        <v>9</v>
      </c>
      <c r="Q34" s="6">
        <f>0</f>
        <v>0</v>
      </c>
      <c r="R34" s="6">
        <v>9</v>
      </c>
      <c r="S34" s="6">
        <f>0</f>
        <v>0</v>
      </c>
      <c r="T34" s="6">
        <f>(3.31/2)</f>
        <v>1.655</v>
      </c>
      <c r="U34" s="6">
        <f>(6.93/2)</f>
        <v>3.4649999999999999</v>
      </c>
      <c r="V34" s="6">
        <f t="shared" si="1"/>
        <v>18.018034649999997</v>
      </c>
      <c r="W34" s="6">
        <f>(4.2/2)</f>
        <v>2.1</v>
      </c>
      <c r="X34" s="6">
        <f>(6.9/2)</f>
        <v>3.45</v>
      </c>
      <c r="Y34" s="6">
        <f t="shared" si="2"/>
        <v>22.763790000000004</v>
      </c>
      <c r="Z34" s="6">
        <f>(4.5/2)</f>
        <v>2.25</v>
      </c>
      <c r="AA34" s="6">
        <f>(7.52/2)</f>
        <v>3.76</v>
      </c>
      <c r="AB34" s="6">
        <f>(Z34*AA34)*3.142</f>
        <v>26.581319999999998</v>
      </c>
      <c r="AC34" s="6">
        <f>(4.2/2)</f>
        <v>2.1</v>
      </c>
      <c r="AD34" s="6">
        <f>(8.11/2)</f>
        <v>4.0549999999999997</v>
      </c>
      <c r="AE34" s="6">
        <f>(AC34*AD34)*3.142</f>
        <v>26.755700999999998</v>
      </c>
      <c r="AF34" s="6">
        <f>17.7</f>
        <v>17.7</v>
      </c>
      <c r="AG34" s="6">
        <f>17.4</f>
        <v>17.399999999999999</v>
      </c>
      <c r="AU34" s="6"/>
      <c r="BH34" s="6"/>
    </row>
    <row r="35" spans="1:60" x14ac:dyDescent="0.3">
      <c r="A35" s="5">
        <v>104134</v>
      </c>
      <c r="B35" s="6" t="s">
        <v>210</v>
      </c>
      <c r="C35" s="6" t="s">
        <v>71</v>
      </c>
      <c r="D35" s="6" t="s">
        <v>177</v>
      </c>
      <c r="E35" s="6">
        <v>3</v>
      </c>
      <c r="F35" s="6" t="s">
        <v>110</v>
      </c>
      <c r="G35" s="14">
        <f>67.98/2.2</f>
        <v>30.9</v>
      </c>
      <c r="H35" s="6">
        <f>105.9</f>
        <v>105.9</v>
      </c>
      <c r="I35" s="6">
        <f>79.21</f>
        <v>79.209999999999994</v>
      </c>
      <c r="J35" s="6">
        <f>(H35*100)/I35</f>
        <v>133.69524049993689</v>
      </c>
      <c r="K35" s="6" t="s">
        <v>95</v>
      </c>
      <c r="L35" s="6">
        <v>2</v>
      </c>
      <c r="M35" s="6">
        <f>0</f>
        <v>0</v>
      </c>
      <c r="N35" s="6">
        <v>2</v>
      </c>
      <c r="O35" s="6">
        <f>0</f>
        <v>0</v>
      </c>
      <c r="P35" s="12">
        <v>13</v>
      </c>
      <c r="Q35" s="6" t="s">
        <v>331</v>
      </c>
      <c r="R35" s="12">
        <v>13</v>
      </c>
      <c r="S35" s="6" t="s">
        <v>331</v>
      </c>
      <c r="T35" s="6">
        <f>(3.66/2)</f>
        <v>1.83</v>
      </c>
      <c r="U35" s="6">
        <f>(6.55/2)</f>
        <v>3.2749999999999999</v>
      </c>
      <c r="V35" s="6">
        <f t="shared" si="1"/>
        <v>18.8307915</v>
      </c>
      <c r="W35" s="6">
        <f>(4.17/2)</f>
        <v>2.085</v>
      </c>
      <c r="X35" s="6">
        <f>(6.55/2)</f>
        <v>3.2749999999999999</v>
      </c>
      <c r="Y35" s="6">
        <f t="shared" si="2"/>
        <v>21.454754249999997</v>
      </c>
      <c r="Z35" s="6" t="s">
        <v>368</v>
      </c>
      <c r="AA35" s="6" t="s">
        <v>368</v>
      </c>
      <c r="AB35" s="6" t="s">
        <v>368</v>
      </c>
      <c r="AC35" s="6" t="s">
        <v>368</v>
      </c>
      <c r="AD35" s="6" t="s">
        <v>368</v>
      </c>
      <c r="AE35" s="6" t="s">
        <v>368</v>
      </c>
      <c r="AF35" s="6">
        <f>16.6</f>
        <v>16.600000000000001</v>
      </c>
      <c r="AG35" s="6">
        <f>16</f>
        <v>16</v>
      </c>
      <c r="AU35" s="6"/>
      <c r="BH35" s="6"/>
    </row>
    <row r="36" spans="1:60" x14ac:dyDescent="0.3">
      <c r="A36" s="5">
        <v>104158</v>
      </c>
      <c r="B36" s="6" t="s">
        <v>218</v>
      </c>
      <c r="C36" s="6" t="s">
        <v>79</v>
      </c>
      <c r="D36" s="6" t="s">
        <v>106</v>
      </c>
      <c r="E36" s="6">
        <v>7</v>
      </c>
      <c r="F36" s="6" t="s">
        <v>97</v>
      </c>
      <c r="G36" s="14">
        <f>68.42/2.2</f>
        <v>31.099999999999998</v>
      </c>
      <c r="H36" s="6">
        <f>114.3</f>
        <v>114.3</v>
      </c>
      <c r="I36" s="6">
        <f>81</f>
        <v>81</v>
      </c>
      <c r="J36" s="6">
        <f t="shared" ref="J36" si="13">(H36*100)/I36</f>
        <v>141.11111111111111</v>
      </c>
      <c r="K36" s="6" t="s">
        <v>95</v>
      </c>
      <c r="L36" s="6" t="s">
        <v>369</v>
      </c>
      <c r="M36" s="6">
        <f>0</f>
        <v>0</v>
      </c>
      <c r="N36" s="6" t="s">
        <v>369</v>
      </c>
      <c r="O36" s="6">
        <f>0</f>
        <v>0</v>
      </c>
      <c r="P36" s="13" t="s">
        <v>383</v>
      </c>
      <c r="Q36" s="6">
        <f>(0.3/6)</f>
        <v>4.9999999999999996E-2</v>
      </c>
      <c r="R36" s="13" t="s">
        <v>383</v>
      </c>
      <c r="S36" s="6">
        <f>(0.6/6)</f>
        <v>9.9999999999999992E-2</v>
      </c>
      <c r="T36" s="6">
        <f>(3/2)</f>
        <v>1.5</v>
      </c>
      <c r="U36" s="6">
        <f>(6.84/2)</f>
        <v>3.42</v>
      </c>
      <c r="V36" s="6">
        <f t="shared" si="1"/>
        <v>16.118459999999999</v>
      </c>
      <c r="W36" s="6">
        <f>(2.68/2)</f>
        <v>1.34</v>
      </c>
      <c r="X36" s="6">
        <f>(6.36/2)</f>
        <v>3.18</v>
      </c>
      <c r="Y36" s="6">
        <f t="shared" si="2"/>
        <v>13.388690400000002</v>
      </c>
      <c r="Z36" s="6">
        <f>(3.61/2)</f>
        <v>1.8049999999999999</v>
      </c>
      <c r="AA36" s="6">
        <f>(6.6/2)</f>
        <v>3.3</v>
      </c>
      <c r="AB36" s="6">
        <f>(Z36*AA36)*3.142</f>
        <v>18.715322999999998</v>
      </c>
      <c r="AC36" s="6">
        <f>(3.61/2)</f>
        <v>1.8049999999999999</v>
      </c>
      <c r="AD36" s="6">
        <f>(6/2)</f>
        <v>3</v>
      </c>
      <c r="AE36" s="6">
        <f>(AC36*AD36)*3.142</f>
        <v>17.013929999999998</v>
      </c>
      <c r="AF36" s="6">
        <f>16.5</f>
        <v>16.5</v>
      </c>
      <c r="AG36" s="6">
        <f>15.5</f>
        <v>15.5</v>
      </c>
      <c r="AU36" s="6"/>
      <c r="BH36" s="6"/>
    </row>
    <row r="37" spans="1:60" x14ac:dyDescent="0.3">
      <c r="A37" s="5">
        <v>3112</v>
      </c>
      <c r="B37" s="6" t="s">
        <v>223</v>
      </c>
      <c r="C37" s="6" t="s">
        <v>84</v>
      </c>
      <c r="D37" s="6" t="s">
        <v>236</v>
      </c>
      <c r="E37" s="6">
        <v>10</v>
      </c>
      <c r="F37" s="6" t="s">
        <v>109</v>
      </c>
      <c r="G37" s="14">
        <f>86/2.2</f>
        <v>39.090909090909086</v>
      </c>
      <c r="H37" s="6">
        <f>103.8</f>
        <v>103.8</v>
      </c>
      <c r="I37" s="6">
        <f>96.32</f>
        <v>96.32</v>
      </c>
      <c r="J37" s="6">
        <f>(H37*100)/I37</f>
        <v>107.76578073089702</v>
      </c>
      <c r="K37" s="6" t="s">
        <v>95</v>
      </c>
      <c r="L37" s="6" t="s">
        <v>369</v>
      </c>
      <c r="M37" s="6">
        <f>0</f>
        <v>0</v>
      </c>
      <c r="N37" s="6" t="s">
        <v>369</v>
      </c>
      <c r="O37" s="6">
        <f>0</f>
        <v>0</v>
      </c>
      <c r="P37" s="13" t="s">
        <v>383</v>
      </c>
      <c r="Q37" s="6">
        <f>(0.67/18.25)</f>
        <v>3.6712328767123291E-2</v>
      </c>
      <c r="R37" s="13" t="s">
        <v>383</v>
      </c>
      <c r="S37" s="6">
        <f>(0.6/6.71)</f>
        <v>8.9418777943368111E-2</v>
      </c>
      <c r="T37" s="6">
        <f>(3.9/2)</f>
        <v>1.95</v>
      </c>
      <c r="U37" s="6">
        <f>(5.7/2)</f>
        <v>2.85</v>
      </c>
      <c r="V37" s="6">
        <f t="shared" si="1"/>
        <v>17.461665</v>
      </c>
      <c r="W37" s="6">
        <f>(4.2/2)</f>
        <v>2.1</v>
      </c>
      <c r="X37" s="6">
        <f>(6.01/2)</f>
        <v>3.0049999999999999</v>
      </c>
      <c r="Y37" s="6">
        <f t="shared" si="2"/>
        <v>19.827591000000002</v>
      </c>
      <c r="Z37" s="6">
        <f>(4.2/2)</f>
        <v>2.1</v>
      </c>
      <c r="AA37" s="6">
        <f>(6.18/2)</f>
        <v>3.09</v>
      </c>
      <c r="AB37" s="6">
        <f t="shared" ref="AB37:AB41" si="14">(Z37*AA37)*3.142</f>
        <v>20.388438000000001</v>
      </c>
      <c r="AC37" s="6">
        <f>(3.91/2)</f>
        <v>1.9550000000000001</v>
      </c>
      <c r="AD37" s="6">
        <f>(6.71/2)</f>
        <v>3.355</v>
      </c>
      <c r="AE37" s="6">
        <f t="shared" ref="AE37:AE41" si="15">(AC37*AD37)*3.142</f>
        <v>20.60845655</v>
      </c>
      <c r="AF37" s="6">
        <f>18.2</f>
        <v>18.2</v>
      </c>
      <c r="AG37" s="6">
        <f>18.1</f>
        <v>18.100000000000001</v>
      </c>
      <c r="AU37" s="6"/>
      <c r="BH37" s="6"/>
    </row>
    <row r="38" spans="1:60" x14ac:dyDescent="0.3">
      <c r="A38" s="5">
        <v>104222</v>
      </c>
      <c r="B38" s="6" t="s">
        <v>224</v>
      </c>
      <c r="C38" s="6" t="s">
        <v>9</v>
      </c>
      <c r="D38" s="6" t="s">
        <v>106</v>
      </c>
      <c r="E38" s="6">
        <v>2</v>
      </c>
      <c r="F38" s="6" t="s">
        <v>109</v>
      </c>
      <c r="G38" s="14">
        <f>83.4/2.2</f>
        <v>37.909090909090907</v>
      </c>
      <c r="H38" s="6">
        <f>107.41</f>
        <v>107.41</v>
      </c>
      <c r="I38" s="6">
        <f>92.7</f>
        <v>92.7</v>
      </c>
      <c r="J38" s="6">
        <f>(H38*100)/I38</f>
        <v>115.86839266450916</v>
      </c>
      <c r="K38" s="6" t="s">
        <v>95</v>
      </c>
      <c r="L38" s="6">
        <v>2</v>
      </c>
      <c r="M38" s="6">
        <f>0</f>
        <v>0</v>
      </c>
      <c r="N38" s="6">
        <v>2</v>
      </c>
      <c r="O38" s="6">
        <f>0</f>
        <v>0</v>
      </c>
      <c r="P38" s="6">
        <v>9</v>
      </c>
      <c r="Q38" s="6">
        <f>0</f>
        <v>0</v>
      </c>
      <c r="R38" s="6">
        <v>9</v>
      </c>
      <c r="S38" s="6">
        <f>0</f>
        <v>0</v>
      </c>
      <c r="T38" s="6">
        <f>(4.8/2)</f>
        <v>2.4</v>
      </c>
      <c r="U38" s="6">
        <f>(7.2/2)</f>
        <v>3.6</v>
      </c>
      <c r="V38" s="6">
        <f t="shared" si="1"/>
        <v>27.146879999999999</v>
      </c>
      <c r="W38" s="6">
        <f>(3.91/2)</f>
        <v>1.9550000000000001</v>
      </c>
      <c r="X38" s="6">
        <f>(7.21/2)</f>
        <v>3.605</v>
      </c>
      <c r="Y38" s="6">
        <f t="shared" si="2"/>
        <v>22.144109050000001</v>
      </c>
      <c r="Z38" s="6">
        <f>(4.81/2)</f>
        <v>2.4049999999999998</v>
      </c>
      <c r="AA38" s="6">
        <f>(8.41/2)</f>
        <v>4.2050000000000001</v>
      </c>
      <c r="AB38" s="6">
        <f t="shared" si="14"/>
        <v>31.775124549999994</v>
      </c>
      <c r="AC38" s="6">
        <f>(5.11/2)</f>
        <v>2.5550000000000002</v>
      </c>
      <c r="AD38" s="6">
        <f>(9.3/2)</f>
        <v>4.6500000000000004</v>
      </c>
      <c r="AE38" s="6">
        <f t="shared" si="15"/>
        <v>37.329316500000004</v>
      </c>
      <c r="AF38" s="6">
        <f>20.4</f>
        <v>20.399999999999999</v>
      </c>
      <c r="AG38" s="6">
        <f>19.8</f>
        <v>19.8</v>
      </c>
      <c r="AU38" s="6"/>
      <c r="BH38" s="6"/>
    </row>
    <row r="39" spans="1:60" x14ac:dyDescent="0.3">
      <c r="A39" s="5">
        <v>104182</v>
      </c>
      <c r="B39" s="6" t="s">
        <v>217</v>
      </c>
      <c r="C39" s="6" t="s">
        <v>77</v>
      </c>
      <c r="D39" s="6" t="s">
        <v>234</v>
      </c>
      <c r="E39" s="6">
        <v>7</v>
      </c>
      <c r="F39" s="6" t="s">
        <v>109</v>
      </c>
      <c r="G39" s="14">
        <f>49.72/2.2</f>
        <v>22.599999999999998</v>
      </c>
      <c r="H39" s="6">
        <f>106.8</f>
        <v>106.8</v>
      </c>
      <c r="I39" s="6">
        <f>78.6</f>
        <v>78.599999999999994</v>
      </c>
      <c r="J39" s="6">
        <f t="shared" ref="J39" si="16">(H39*100)/I39</f>
        <v>135.87786259541986</v>
      </c>
      <c r="K39" s="6" t="s">
        <v>95</v>
      </c>
      <c r="L39" s="6">
        <v>2</v>
      </c>
      <c r="M39" s="6">
        <f>0</f>
        <v>0</v>
      </c>
      <c r="N39" s="6">
        <v>2</v>
      </c>
      <c r="O39" s="6">
        <f>0</f>
        <v>0</v>
      </c>
      <c r="P39" s="13" t="s">
        <v>383</v>
      </c>
      <c r="Q39" s="6">
        <f>(2.12/12)</f>
        <v>0.17666666666666667</v>
      </c>
      <c r="R39" s="13" t="s">
        <v>383</v>
      </c>
      <c r="S39" s="6">
        <f>(1.8/12)</f>
        <v>0.15</v>
      </c>
      <c r="T39" s="6">
        <f>(4.54/2)</f>
        <v>2.27</v>
      </c>
      <c r="U39" s="6">
        <f>(6.91/2)</f>
        <v>3.4550000000000001</v>
      </c>
      <c r="V39" s="6">
        <f t="shared" si="1"/>
        <v>24.642234699999999</v>
      </c>
      <c r="W39" s="6">
        <f>(4.81/2)</f>
        <v>2.4049999999999998</v>
      </c>
      <c r="X39" s="6">
        <f>(7.22/2)</f>
        <v>3.61</v>
      </c>
      <c r="Y39" s="6">
        <f t="shared" si="2"/>
        <v>27.279001099999995</v>
      </c>
      <c r="Z39" s="6">
        <f>(5.7/2)</f>
        <v>2.85</v>
      </c>
      <c r="AA39" s="6">
        <f>(12/2)</f>
        <v>6</v>
      </c>
      <c r="AB39" s="6">
        <f t="shared" si="14"/>
        <v>53.728200000000001</v>
      </c>
      <c r="AC39" s="6">
        <f>(5.7/2)</f>
        <v>2.85</v>
      </c>
      <c r="AD39" s="6">
        <f>(12/2)</f>
        <v>6</v>
      </c>
      <c r="AE39" s="6">
        <f t="shared" si="15"/>
        <v>53.728200000000001</v>
      </c>
      <c r="AF39" s="6">
        <f>16</f>
        <v>16</v>
      </c>
      <c r="AG39" s="6">
        <f>16.8</f>
        <v>16.8</v>
      </c>
      <c r="AU39" s="6"/>
      <c r="BH39" s="6"/>
    </row>
    <row r="40" spans="1:60" x14ac:dyDescent="0.3">
      <c r="A40" s="5">
        <v>104109</v>
      </c>
      <c r="B40" s="6" t="s">
        <v>209</v>
      </c>
      <c r="C40" s="6" t="s">
        <v>70</v>
      </c>
      <c r="D40" s="6" t="s">
        <v>178</v>
      </c>
      <c r="E40" s="6">
        <v>1</v>
      </c>
      <c r="F40" s="6" t="s">
        <v>109</v>
      </c>
      <c r="G40" s="14">
        <f>71.4/2.2</f>
        <v>32.454545454545453</v>
      </c>
      <c r="H40" s="6">
        <f>116.42</f>
        <v>116.42</v>
      </c>
      <c r="I40" s="6">
        <f>98.4</f>
        <v>98.4</v>
      </c>
      <c r="J40" s="6">
        <f t="shared" ref="J40" si="17">(H40*100)/I40</f>
        <v>118.3130081300813</v>
      </c>
      <c r="K40" s="6" t="s">
        <v>95</v>
      </c>
      <c r="L40" s="6">
        <v>2</v>
      </c>
      <c r="M40" s="6">
        <f>0</f>
        <v>0</v>
      </c>
      <c r="N40" s="6">
        <v>2</v>
      </c>
      <c r="O40" s="6">
        <f>0</f>
        <v>0</v>
      </c>
      <c r="P40" s="6">
        <v>9</v>
      </c>
      <c r="Q40" s="6">
        <f>0</f>
        <v>0</v>
      </c>
      <c r="R40" s="6">
        <v>9</v>
      </c>
      <c r="S40" s="6">
        <f>0</f>
        <v>0</v>
      </c>
      <c r="T40" s="6">
        <f>(3.95/2)</f>
        <v>1.9750000000000001</v>
      </c>
      <c r="U40" s="6">
        <f>(7.3/2)</f>
        <v>3.65</v>
      </c>
      <c r="V40" s="6">
        <f t="shared" si="1"/>
        <v>22.6498925</v>
      </c>
      <c r="W40" s="6">
        <f>(4.51/2)</f>
        <v>2.2549999999999999</v>
      </c>
      <c r="X40" s="6">
        <f>(7.81/2)</f>
        <v>3.9049999999999998</v>
      </c>
      <c r="Y40" s="6">
        <f t="shared" si="2"/>
        <v>27.667745049999997</v>
      </c>
      <c r="Z40" s="6">
        <f>(4.21/2)</f>
        <v>2.105</v>
      </c>
      <c r="AA40" s="6">
        <f>(8.4/2)</f>
        <v>4.2</v>
      </c>
      <c r="AB40" s="6">
        <f t="shared" si="14"/>
        <v>27.778422000000003</v>
      </c>
      <c r="AC40" s="6">
        <f>(3.9/2)</f>
        <v>1.95</v>
      </c>
      <c r="AD40" s="6">
        <f>(9/2)</f>
        <v>4.5</v>
      </c>
      <c r="AE40" s="6">
        <f t="shared" si="15"/>
        <v>27.57105</v>
      </c>
      <c r="AF40" s="6">
        <f>18</f>
        <v>18</v>
      </c>
      <c r="AG40" s="6">
        <f>18</f>
        <v>18</v>
      </c>
      <c r="AU40" s="6"/>
      <c r="BH40" s="6"/>
    </row>
    <row r="41" spans="1:60" x14ac:dyDescent="0.3">
      <c r="A41" s="5">
        <v>104156</v>
      </c>
      <c r="B41" s="6" t="s">
        <v>214</v>
      </c>
      <c r="C41" s="6" t="s">
        <v>75</v>
      </c>
      <c r="D41" s="6" t="s">
        <v>234</v>
      </c>
      <c r="E41" s="6">
        <v>9</v>
      </c>
      <c r="F41" s="6" t="s">
        <v>109</v>
      </c>
      <c r="G41" s="14">
        <f>54.9/2.2</f>
        <v>24.954545454545453</v>
      </c>
      <c r="H41" s="6">
        <f>94.8</f>
        <v>94.8</v>
      </c>
      <c r="I41" s="6">
        <f>78.9</f>
        <v>78.900000000000006</v>
      </c>
      <c r="J41" s="6">
        <f>(H41*100)/I41</f>
        <v>120.15209125475285</v>
      </c>
      <c r="K41" s="6" t="s">
        <v>95</v>
      </c>
      <c r="L41" s="8" t="s">
        <v>370</v>
      </c>
      <c r="M41" s="6">
        <f>(1.62/5.64)</f>
        <v>0.28723404255319152</v>
      </c>
      <c r="N41" s="8" t="s">
        <v>370</v>
      </c>
      <c r="O41" s="6">
        <f>(1.53/6.66)</f>
        <v>0.22972972972972974</v>
      </c>
      <c r="P41" s="13" t="s">
        <v>383</v>
      </c>
      <c r="Q41" s="6">
        <f>(1.5/9.9)</f>
        <v>0.15151515151515152</v>
      </c>
      <c r="R41" s="13" t="s">
        <v>383</v>
      </c>
      <c r="S41" s="6">
        <f>(2.1/9.62)</f>
        <v>0.21829521829521834</v>
      </c>
      <c r="T41" s="6">
        <f>(3.91/2)</f>
        <v>1.9550000000000001</v>
      </c>
      <c r="U41" s="6">
        <f>(6.93/2)</f>
        <v>3.4649999999999999</v>
      </c>
      <c r="V41" s="6">
        <f t="shared" si="1"/>
        <v>21.284143649999997</v>
      </c>
      <c r="W41" s="6">
        <f>(4.21/2)</f>
        <v>2.105</v>
      </c>
      <c r="X41" s="6">
        <f>(6.66/2)</f>
        <v>3.33</v>
      </c>
      <c r="Y41" s="6">
        <f t="shared" si="2"/>
        <v>22.024320299999999</v>
      </c>
      <c r="Z41" s="6">
        <f>(6/2)</f>
        <v>3</v>
      </c>
      <c r="AA41" s="6">
        <f>(9.9/2)</f>
        <v>4.95</v>
      </c>
      <c r="AB41" s="6">
        <f t="shared" si="14"/>
        <v>46.658700000000003</v>
      </c>
      <c r="AC41" s="6">
        <f>(5.7/2)</f>
        <v>2.85</v>
      </c>
      <c r="AD41" s="6">
        <f>(9.62/2)</f>
        <v>4.8099999999999996</v>
      </c>
      <c r="AE41" s="6">
        <f t="shared" si="15"/>
        <v>43.072106999999995</v>
      </c>
      <c r="AF41" s="6">
        <f>15.4</f>
        <v>15.4</v>
      </c>
      <c r="AG41" s="6">
        <f>15.5</f>
        <v>15.5</v>
      </c>
      <c r="AU41" s="6"/>
      <c r="BH41" s="6"/>
    </row>
    <row r="42" spans="1:60" x14ac:dyDescent="0.3">
      <c r="B42" s="6" t="s">
        <v>321</v>
      </c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109" spans="10:60" s="6" customFormat="1" x14ac:dyDescent="0.3">
      <c r="J109" s="9"/>
      <c r="AH109" s="18"/>
      <c r="AU109" s="17"/>
      <c r="BH109" s="17"/>
    </row>
    <row r="137" spans="10:60" s="6" customFormat="1" x14ac:dyDescent="0.3">
      <c r="J137" s="9"/>
      <c r="AH137" s="18"/>
      <c r="AU137" s="17"/>
      <c r="BH137" s="17"/>
    </row>
  </sheetData>
  <pageMargins left="0.7" right="0.7" top="0.75" bottom="0.75" header="0.3" footer="0.3"/>
  <pageSetup orientation="portrait" horizontalDpi="4294967295" verticalDpi="4294967295" r:id="rId1"/>
  <ignoredErrors>
    <ignoredError sqref="M7 O7 AC11 S12 Q12 Z13 AG13 X27 O30 M30 O33 Q39 S39 AC40 Q6 S6 Q8 S8 Q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E612-7754-4A88-8894-F3C38ACC2F3B}">
  <dimension ref="A1:BH42"/>
  <sheetViews>
    <sheetView tabSelected="1" topLeftCell="F1" workbookViewId="0">
      <selection activeCell="R1" sqref="R1"/>
    </sheetView>
  </sheetViews>
  <sheetFormatPr defaultColWidth="8.77734375" defaultRowHeight="14.4" x14ac:dyDescent="0.3"/>
  <cols>
    <col min="1" max="1" width="8.77734375" style="5"/>
    <col min="2" max="2" width="16.6640625" style="6" customWidth="1"/>
    <col min="3" max="3" width="11.77734375" style="6" customWidth="1"/>
    <col min="4" max="4" width="25.77734375" style="6" customWidth="1"/>
    <col min="5" max="5" width="8.88671875" style="6" customWidth="1"/>
    <col min="6" max="6" width="6.21875" style="6" customWidth="1"/>
    <col min="7" max="7" width="10.21875" style="6" customWidth="1"/>
    <col min="8" max="8" width="16" style="6" customWidth="1"/>
    <col min="9" max="9" width="16.21875" style="6" customWidth="1"/>
    <col min="10" max="10" width="13.5546875" style="6" customWidth="1"/>
    <col min="11" max="11" width="10.77734375" style="6" customWidth="1"/>
    <col min="12" max="12" width="12.44140625" style="6" customWidth="1"/>
    <col min="13" max="13" width="13.109375" style="6" customWidth="1"/>
    <col min="14" max="14" width="9.5546875" style="6" customWidth="1"/>
    <col min="15" max="15" width="12.77734375" style="6" customWidth="1"/>
    <col min="16" max="16" width="9.77734375" style="6" customWidth="1"/>
    <col min="17" max="17" width="13.33203125" style="6" customWidth="1"/>
    <col min="18" max="18" width="14" style="6" customWidth="1"/>
    <col min="19" max="19" width="13" style="6" customWidth="1"/>
    <col min="20" max="20" width="13.6640625" style="6" customWidth="1"/>
    <col min="21" max="21" width="20.44140625" style="6" customWidth="1"/>
    <col min="22" max="22" width="15.77734375" style="6" customWidth="1"/>
    <col min="23" max="23" width="14.21875" style="6" customWidth="1"/>
    <col min="24" max="24" width="15.5546875" style="6" customWidth="1"/>
    <col min="25" max="25" width="16.21875" style="6" customWidth="1"/>
    <col min="26" max="26" width="11.21875" style="6" customWidth="1"/>
    <col min="27" max="27" width="13.21875" style="6" customWidth="1"/>
    <col min="28" max="28" width="14" style="6" customWidth="1"/>
    <col min="29" max="29" width="12.44140625" style="6" customWidth="1"/>
    <col min="30" max="30" width="13.109375" style="6" customWidth="1"/>
    <col min="31" max="31" width="15.5546875" style="6" customWidth="1"/>
    <col min="32" max="32" width="10.6640625" style="6" customWidth="1"/>
    <col min="33" max="33" width="8.77734375" style="6"/>
    <col min="34" max="34" width="11.77734375" style="18" customWidth="1"/>
    <col min="35" max="35" width="8.77734375" style="6"/>
    <col min="36" max="36" width="14.109375" style="6" customWidth="1"/>
    <col min="37" max="37" width="8.77734375" style="6"/>
    <col min="38" max="38" width="13.21875" style="6" customWidth="1"/>
    <col min="39" max="39" width="8.77734375" style="6"/>
    <col min="40" max="40" width="13" style="6" customWidth="1"/>
    <col min="41" max="41" width="8.77734375" style="6"/>
    <col min="42" max="42" width="15.88671875" style="6" customWidth="1"/>
    <col min="43" max="43" width="8.77734375" style="6"/>
    <col min="44" max="44" width="15.6640625" style="6" customWidth="1"/>
    <col min="45" max="45" width="8.77734375" style="6"/>
    <col min="46" max="46" width="13.5546875" style="6" customWidth="1"/>
    <col min="47" max="47" width="11" style="17" customWidth="1"/>
    <col min="48" max="48" width="8.77734375" style="6"/>
    <col min="49" max="49" width="14.5546875" style="6" customWidth="1"/>
    <col min="50" max="50" width="8.77734375" style="6"/>
    <col min="51" max="51" width="13.109375" style="6" customWidth="1"/>
    <col min="52" max="52" width="8.77734375" style="6"/>
    <col min="53" max="53" width="15.5546875" style="6" customWidth="1"/>
    <col min="54" max="54" width="8.77734375" style="6"/>
    <col min="55" max="55" width="15" style="6" customWidth="1"/>
    <col min="56" max="56" width="8.77734375" style="6"/>
    <col min="57" max="57" width="15.21875" style="6" customWidth="1"/>
    <col min="58" max="58" width="8.77734375" style="6"/>
    <col min="59" max="59" width="14.77734375" style="6" customWidth="1"/>
    <col min="60" max="60" width="12.5546875" style="17" customWidth="1"/>
    <col min="61" max="61" width="8.77734375" style="6"/>
    <col min="62" max="62" width="14.5546875" style="6" customWidth="1"/>
    <col min="63" max="63" width="8.77734375" style="6"/>
    <col min="64" max="64" width="14.77734375" style="6" customWidth="1"/>
    <col min="65" max="65" width="8.77734375" style="6"/>
    <col min="66" max="66" width="13.6640625" style="6" customWidth="1"/>
    <col min="67" max="67" width="8.77734375" style="6"/>
    <col min="68" max="68" width="16.109375" style="6" customWidth="1"/>
    <col min="69" max="69" width="8.77734375" style="6"/>
    <col min="70" max="70" width="13.44140625" style="6" customWidth="1"/>
    <col min="71" max="71" width="8.77734375" style="6"/>
    <col min="72" max="72" width="14.6640625" style="6" customWidth="1"/>
    <col min="73" max="16384" width="8.77734375" style="6"/>
  </cols>
  <sheetData>
    <row r="1" spans="1:60" s="4" customFormat="1" x14ac:dyDescent="0.3">
      <c r="A1" s="1" t="s">
        <v>276</v>
      </c>
      <c r="B1" s="2" t="s">
        <v>0</v>
      </c>
      <c r="C1" s="2" t="s">
        <v>1</v>
      </c>
      <c r="D1" s="2" t="s">
        <v>93</v>
      </c>
      <c r="E1" s="2" t="s">
        <v>107</v>
      </c>
      <c r="F1" s="2" t="s">
        <v>108</v>
      </c>
      <c r="G1" s="2" t="s">
        <v>371</v>
      </c>
      <c r="H1" s="2" t="s">
        <v>300</v>
      </c>
      <c r="I1" s="2" t="s">
        <v>301</v>
      </c>
      <c r="J1" s="2" t="s">
        <v>302</v>
      </c>
      <c r="K1" s="2" t="s">
        <v>322</v>
      </c>
      <c r="L1" s="2" t="s">
        <v>334</v>
      </c>
      <c r="M1" s="2" t="s">
        <v>356</v>
      </c>
      <c r="N1" s="2" t="s">
        <v>335</v>
      </c>
      <c r="O1" s="2" t="s">
        <v>352</v>
      </c>
      <c r="P1" s="2" t="s">
        <v>336</v>
      </c>
      <c r="Q1" s="3" t="s">
        <v>379</v>
      </c>
      <c r="R1" s="3" t="s">
        <v>337</v>
      </c>
      <c r="S1" s="3" t="s">
        <v>380</v>
      </c>
      <c r="T1" s="3" t="s">
        <v>340</v>
      </c>
      <c r="U1" s="3" t="s">
        <v>339</v>
      </c>
      <c r="V1" s="3" t="s">
        <v>342</v>
      </c>
      <c r="W1" s="3" t="s">
        <v>343</v>
      </c>
      <c r="X1" s="3" t="s">
        <v>344</v>
      </c>
      <c r="Y1" s="3" t="s">
        <v>345</v>
      </c>
      <c r="Z1" s="2" t="s">
        <v>347</v>
      </c>
      <c r="AA1" s="3" t="s">
        <v>348</v>
      </c>
      <c r="AB1" s="3" t="s">
        <v>360</v>
      </c>
      <c r="AC1" s="2" t="s">
        <v>353</v>
      </c>
      <c r="AD1" s="3" t="s">
        <v>361</v>
      </c>
      <c r="AE1" s="3" t="s">
        <v>362</v>
      </c>
      <c r="AF1" s="3" t="s">
        <v>363</v>
      </c>
      <c r="AG1" s="3" t="s">
        <v>364</v>
      </c>
      <c r="AH1" s="20"/>
    </row>
    <row r="2" spans="1:60" x14ac:dyDescent="0.3">
      <c r="A2" s="5">
        <v>103796</v>
      </c>
      <c r="B2" s="6" t="s">
        <v>133</v>
      </c>
      <c r="C2" s="6" t="s">
        <v>5</v>
      </c>
      <c r="D2" s="6" t="s">
        <v>103</v>
      </c>
      <c r="E2" s="6">
        <v>1</v>
      </c>
      <c r="F2" s="6" t="s">
        <v>110</v>
      </c>
      <c r="G2" s="14">
        <f>51.3/2.2</f>
        <v>23.318181818181817</v>
      </c>
      <c r="H2" s="6">
        <f>122.1</f>
        <v>122.1</v>
      </c>
      <c r="I2" s="6">
        <f>71.4</f>
        <v>71.400000000000006</v>
      </c>
      <c r="J2" s="9">
        <f t="shared" ref="J2:J25" si="0">(H2*100)/I2</f>
        <v>171.00840336134453</v>
      </c>
      <c r="K2" s="6" t="s">
        <v>96</v>
      </c>
      <c r="L2" s="6">
        <v>2</v>
      </c>
      <c r="M2" s="6">
        <f>0</f>
        <v>0</v>
      </c>
      <c r="N2" s="6">
        <v>2</v>
      </c>
      <c r="O2" s="6">
        <f>0</f>
        <v>0</v>
      </c>
      <c r="P2" s="6">
        <v>9</v>
      </c>
      <c r="Q2" s="6">
        <f>0</f>
        <v>0</v>
      </c>
      <c r="R2" s="6">
        <v>9</v>
      </c>
      <c r="S2" s="6">
        <f>0</f>
        <v>0</v>
      </c>
      <c r="T2" s="6">
        <f>(4.18/2)</f>
        <v>2.09</v>
      </c>
      <c r="U2" s="6">
        <f>(4.84/2)</f>
        <v>2.42</v>
      </c>
      <c r="V2" s="6">
        <f>(T2*U2)*3.142</f>
        <v>15.891607599999997</v>
      </c>
      <c r="W2" s="6">
        <f>(3.62/2)</f>
        <v>1.81</v>
      </c>
      <c r="X2" s="6">
        <f>(4.81/2)</f>
        <v>2.4049999999999998</v>
      </c>
      <c r="Y2" s="6">
        <f>(W2*X2)*3.142</f>
        <v>13.677283099999999</v>
      </c>
      <c r="Z2" s="6">
        <f>(4.18/2)</f>
        <v>2.09</v>
      </c>
      <c r="AA2" s="6">
        <f>(6.96/2)</f>
        <v>3.48</v>
      </c>
      <c r="AB2" s="6">
        <f>(Z2*AA2)*3.142</f>
        <v>22.852394399999998</v>
      </c>
      <c r="AC2" s="6">
        <f>(4.57/2)</f>
        <v>2.2850000000000001</v>
      </c>
      <c r="AD2" s="6">
        <f>(7.85/2)</f>
        <v>3.9249999999999998</v>
      </c>
      <c r="AE2" s="6">
        <f>(AC2*AD2)*3.142</f>
        <v>28.179419749999997</v>
      </c>
      <c r="AF2" s="6">
        <f>14.1</f>
        <v>14.1</v>
      </c>
      <c r="AG2" s="6">
        <f>14.4</f>
        <v>14.4</v>
      </c>
      <c r="AU2" s="6"/>
      <c r="BH2" s="6"/>
    </row>
    <row r="3" spans="1:60" x14ac:dyDescent="0.3">
      <c r="A3" s="5">
        <v>103730</v>
      </c>
      <c r="B3" s="6" t="s">
        <v>139</v>
      </c>
      <c r="C3" s="6" t="s">
        <v>12</v>
      </c>
      <c r="D3" s="6" t="s">
        <v>113</v>
      </c>
      <c r="E3" s="6">
        <v>8</v>
      </c>
      <c r="F3" s="6" t="s">
        <v>110</v>
      </c>
      <c r="G3" s="14">
        <f>6.38/2.2</f>
        <v>2.9</v>
      </c>
      <c r="H3" s="6">
        <f>72.01</f>
        <v>72.010000000000005</v>
      </c>
      <c r="I3" s="6">
        <f>36.6</f>
        <v>36.6</v>
      </c>
      <c r="J3" s="6">
        <f t="shared" si="0"/>
        <v>196.74863387978144</v>
      </c>
      <c r="K3" s="6" t="s">
        <v>96</v>
      </c>
      <c r="L3" s="8" t="s">
        <v>338</v>
      </c>
      <c r="M3" s="6">
        <f>(0.95/4.95)</f>
        <v>0.19191919191919191</v>
      </c>
      <c r="N3" s="8" t="s">
        <v>338</v>
      </c>
      <c r="O3" s="6">
        <f>(1.24/5.13)</f>
        <v>0.24171539961013647</v>
      </c>
      <c r="P3" s="12">
        <v>13</v>
      </c>
      <c r="Q3" s="6" t="s">
        <v>331</v>
      </c>
      <c r="R3" s="12">
        <v>13</v>
      </c>
      <c r="S3" s="6" t="s">
        <v>331</v>
      </c>
      <c r="T3" s="6">
        <f>(3.51/2)</f>
        <v>1.7549999999999999</v>
      </c>
      <c r="U3" s="6">
        <f>(4.95/2)</f>
        <v>2.4750000000000001</v>
      </c>
      <c r="W3" s="6">
        <f>(2.85/2)</f>
        <v>1.425</v>
      </c>
      <c r="X3" s="6">
        <f>(5.13/2)</f>
        <v>2.5649999999999999</v>
      </c>
      <c r="Z3" s="6" t="s">
        <v>368</v>
      </c>
      <c r="AA3" s="6" t="s">
        <v>368</v>
      </c>
      <c r="AB3" s="6" t="s">
        <v>368</v>
      </c>
      <c r="AC3" s="6" t="s">
        <v>368</v>
      </c>
      <c r="AD3" s="6" t="s">
        <v>368</v>
      </c>
      <c r="AE3" s="6" t="s">
        <v>368</v>
      </c>
      <c r="AF3" s="6">
        <f>9</f>
        <v>9</v>
      </c>
      <c r="AG3" s="6">
        <f>8.7</f>
        <v>8.6999999999999993</v>
      </c>
      <c r="AU3" s="6"/>
      <c r="BH3" s="6"/>
    </row>
    <row r="4" spans="1:60" x14ac:dyDescent="0.3">
      <c r="A4" s="5">
        <v>104496</v>
      </c>
      <c r="B4" s="6" t="s">
        <v>270</v>
      </c>
      <c r="C4" s="6" t="s">
        <v>271</v>
      </c>
      <c r="D4" s="6" t="s">
        <v>272</v>
      </c>
      <c r="E4" s="6">
        <v>2</v>
      </c>
      <c r="F4" s="6" t="s">
        <v>109</v>
      </c>
      <c r="G4" s="14">
        <f>65/2.2</f>
        <v>29.545454545454543</v>
      </c>
      <c r="H4" s="6">
        <f>125.7</f>
        <v>125.7</v>
      </c>
      <c r="I4" s="6">
        <f>76</f>
        <v>76</v>
      </c>
      <c r="J4" s="6">
        <f>(H4*100)/I4</f>
        <v>165.39473684210526</v>
      </c>
      <c r="K4" s="6" t="s">
        <v>96</v>
      </c>
      <c r="L4" s="6">
        <v>2</v>
      </c>
      <c r="M4" s="6">
        <f>0</f>
        <v>0</v>
      </c>
      <c r="N4" s="6">
        <v>2</v>
      </c>
      <c r="O4" s="6">
        <f>0</f>
        <v>0</v>
      </c>
      <c r="P4" s="6">
        <v>9</v>
      </c>
      <c r="Q4" s="6">
        <f>0</f>
        <v>0</v>
      </c>
      <c r="R4" s="6">
        <v>9</v>
      </c>
      <c r="S4" s="6">
        <f>0</f>
        <v>0</v>
      </c>
      <c r="T4" s="6">
        <f>(4.54/2)</f>
        <v>2.27</v>
      </c>
      <c r="U4" s="6">
        <f>(7.26/2)</f>
        <v>3.63</v>
      </c>
      <c r="W4" s="6">
        <f>(5.14/2)</f>
        <v>2.57</v>
      </c>
      <c r="X4" s="6">
        <f>(7.2/2)</f>
        <v>3.6</v>
      </c>
      <c r="Z4" s="6">
        <f>(5.71/2)</f>
        <v>2.855</v>
      </c>
      <c r="AA4" s="6">
        <f>(10.54/2)</f>
        <v>5.27</v>
      </c>
      <c r="AB4" s="6">
        <f>(Z4*AA4)*3.142</f>
        <v>47.274060699999993</v>
      </c>
      <c r="AC4" s="6">
        <f>(5.11/2)</f>
        <v>2.5550000000000002</v>
      </c>
      <c r="AD4" s="6">
        <f>(10.5/2)</f>
        <v>5.25</v>
      </c>
      <c r="AE4" s="6">
        <f>(AC4*AD4)*3.142</f>
        <v>42.146002500000002</v>
      </c>
      <c r="AF4" s="6">
        <f>14.4</f>
        <v>14.4</v>
      </c>
      <c r="AG4" s="6">
        <f>14.1</f>
        <v>14.1</v>
      </c>
      <c r="AU4" s="6"/>
      <c r="BH4" s="6"/>
    </row>
    <row r="5" spans="1:60" x14ac:dyDescent="0.3">
      <c r="A5" s="5">
        <v>104413</v>
      </c>
      <c r="B5" s="6" t="s">
        <v>258</v>
      </c>
      <c r="C5" s="6" t="s">
        <v>259</v>
      </c>
      <c r="D5" s="6" t="s">
        <v>170</v>
      </c>
      <c r="E5" s="6">
        <v>6</v>
      </c>
      <c r="F5" s="6" t="s">
        <v>110</v>
      </c>
      <c r="G5" s="14">
        <f>44.8/2.2</f>
        <v>20.36363636363636</v>
      </c>
      <c r="H5" s="6">
        <f>118</f>
        <v>118</v>
      </c>
      <c r="I5" s="6">
        <f>73</f>
        <v>73</v>
      </c>
      <c r="J5" s="6">
        <f>(H5*100)/I5</f>
        <v>161.64383561643837</v>
      </c>
      <c r="K5" s="6" t="s">
        <v>96</v>
      </c>
      <c r="L5" s="6">
        <v>2</v>
      </c>
      <c r="M5" s="6">
        <f>0</f>
        <v>0</v>
      </c>
      <c r="N5" s="6">
        <v>2</v>
      </c>
      <c r="O5" s="6">
        <f>0</f>
        <v>0</v>
      </c>
      <c r="P5" s="6">
        <v>9</v>
      </c>
      <c r="Q5" s="6">
        <f>0</f>
        <v>0</v>
      </c>
      <c r="R5" s="6">
        <v>9</v>
      </c>
      <c r="S5" s="6">
        <f>0</f>
        <v>0</v>
      </c>
      <c r="T5" s="6">
        <f>(3.24/2)</f>
        <v>1.62</v>
      </c>
      <c r="U5" s="6">
        <f>(6.64/2)</f>
        <v>3.32</v>
      </c>
      <c r="W5" s="6">
        <f>(4.8/2)</f>
        <v>2.4</v>
      </c>
      <c r="X5" s="6">
        <f>(6.6/2)</f>
        <v>3.3</v>
      </c>
      <c r="Z5" s="7" t="s">
        <v>368</v>
      </c>
      <c r="AA5" s="7" t="s">
        <v>368</v>
      </c>
      <c r="AB5" s="7" t="s">
        <v>368</v>
      </c>
      <c r="AC5" s="6" t="s">
        <v>368</v>
      </c>
      <c r="AD5" s="6" t="s">
        <v>368</v>
      </c>
      <c r="AE5" s="6" t="s">
        <v>368</v>
      </c>
      <c r="AF5" s="6">
        <f>14.4</f>
        <v>14.4</v>
      </c>
      <c r="AG5" s="6">
        <f>14.4</f>
        <v>14.4</v>
      </c>
      <c r="AU5" s="6"/>
      <c r="BH5" s="6"/>
    </row>
    <row r="6" spans="1:60" x14ac:dyDescent="0.3">
      <c r="A6" s="5">
        <v>103848</v>
      </c>
      <c r="B6" s="6" t="s">
        <v>145</v>
      </c>
      <c r="C6" s="6" t="s">
        <v>17</v>
      </c>
      <c r="D6" s="6" t="s">
        <v>98</v>
      </c>
      <c r="E6" s="6">
        <v>5</v>
      </c>
      <c r="F6" s="6" t="s">
        <v>110</v>
      </c>
      <c r="G6" s="14">
        <f>41.5/2.2</f>
        <v>18.863636363636363</v>
      </c>
      <c r="H6" s="6">
        <f>116.7</f>
        <v>116.7</v>
      </c>
      <c r="I6" s="6">
        <f>45.3</f>
        <v>45.3</v>
      </c>
      <c r="J6" s="6">
        <f t="shared" si="0"/>
        <v>257.61589403973511</v>
      </c>
      <c r="K6" s="6" t="s">
        <v>96</v>
      </c>
      <c r="L6" s="8" t="s">
        <v>338</v>
      </c>
      <c r="M6" s="6">
        <f>(0.95/8.83)</f>
        <v>0.10758776896942242</v>
      </c>
      <c r="N6" s="8" t="s">
        <v>338</v>
      </c>
      <c r="O6" s="6">
        <f>(0.9/8.24)</f>
        <v>0.10922330097087378</v>
      </c>
      <c r="P6" s="6">
        <v>9</v>
      </c>
      <c r="Q6" s="6">
        <f>0</f>
        <v>0</v>
      </c>
      <c r="R6" s="6">
        <v>9</v>
      </c>
      <c r="S6" s="6">
        <f>0</f>
        <v>0</v>
      </c>
      <c r="T6" s="6">
        <f>(4.3/2)</f>
        <v>2.15</v>
      </c>
      <c r="U6" s="6">
        <f>(8.83/2)</f>
        <v>4.415</v>
      </c>
      <c r="W6" s="6">
        <f>(4.54/2)</f>
        <v>2.27</v>
      </c>
      <c r="X6" s="6">
        <f>(8.24/2)</f>
        <v>4.12</v>
      </c>
      <c r="Z6" s="6">
        <f>(4.74/2)</f>
        <v>2.37</v>
      </c>
      <c r="AA6" s="6">
        <f>(9.42/2)</f>
        <v>4.71</v>
      </c>
      <c r="AB6" s="6">
        <f>(Z6*AA6)*3.142</f>
        <v>35.073203400000004</v>
      </c>
      <c r="AC6" s="6">
        <f>(4.84/2)</f>
        <v>2.42</v>
      </c>
      <c r="AD6" s="6">
        <f>(9.97/2)</f>
        <v>4.9850000000000003</v>
      </c>
      <c r="AF6" s="6">
        <f>12.4</f>
        <v>12.4</v>
      </c>
      <c r="AG6" s="6">
        <f>13.8</f>
        <v>13.8</v>
      </c>
      <c r="AU6" s="6"/>
      <c r="BH6" s="6"/>
    </row>
    <row r="7" spans="1:60" x14ac:dyDescent="0.3">
      <c r="A7" s="5">
        <v>103798</v>
      </c>
      <c r="B7" s="6" t="s">
        <v>150</v>
      </c>
      <c r="C7" s="6" t="s">
        <v>22</v>
      </c>
      <c r="D7" s="6" t="s">
        <v>120</v>
      </c>
      <c r="E7" s="6">
        <v>7</v>
      </c>
      <c r="F7" s="6" t="s">
        <v>110</v>
      </c>
      <c r="G7" s="14">
        <f>9.6/2.2</f>
        <v>4.3636363636363633</v>
      </c>
      <c r="H7" s="6">
        <f>69.61</f>
        <v>69.61</v>
      </c>
      <c r="I7" s="6">
        <f>27.9</f>
        <v>27.9</v>
      </c>
      <c r="J7" s="6">
        <f t="shared" si="0"/>
        <v>249.49820788530468</v>
      </c>
      <c r="K7" s="6" t="s">
        <v>96</v>
      </c>
      <c r="L7" s="8" t="s">
        <v>338</v>
      </c>
      <c r="M7" s="6">
        <f>(1.75/2.82)</f>
        <v>0.62056737588652489</v>
      </c>
      <c r="N7" s="8" t="s">
        <v>338</v>
      </c>
      <c r="O7" s="6">
        <f>(1.62/2.68)</f>
        <v>0.60447761194029848</v>
      </c>
      <c r="P7" s="12">
        <v>13</v>
      </c>
      <c r="Q7" s="6" t="s">
        <v>331</v>
      </c>
      <c r="R7" s="12">
        <v>13</v>
      </c>
      <c r="S7" s="6" t="s">
        <v>331</v>
      </c>
      <c r="T7" s="6">
        <f>(3.13/2)</f>
        <v>1.5649999999999999</v>
      </c>
      <c r="U7" s="6">
        <f>(3.95/2)</f>
        <v>1.9750000000000001</v>
      </c>
      <c r="W7" s="6">
        <f>(4.37/2)</f>
        <v>2.1850000000000001</v>
      </c>
      <c r="X7" s="6">
        <f>(4.37/2)</f>
        <v>2.1850000000000001</v>
      </c>
      <c r="Z7" s="6" t="s">
        <v>368</v>
      </c>
      <c r="AA7" s="6" t="s">
        <v>368</v>
      </c>
      <c r="AB7" s="6" t="s">
        <v>368</v>
      </c>
      <c r="AC7" s="6" t="s">
        <v>368</v>
      </c>
      <c r="AD7" s="6" t="s">
        <v>368</v>
      </c>
      <c r="AE7" s="6" t="s">
        <v>368</v>
      </c>
      <c r="AF7" s="6">
        <f>7.8</f>
        <v>7.8</v>
      </c>
      <c r="AG7" s="6">
        <f>7.8</f>
        <v>7.8</v>
      </c>
      <c r="AU7" s="6"/>
      <c r="BH7" s="6"/>
    </row>
    <row r="8" spans="1:60" x14ac:dyDescent="0.3">
      <c r="A8" s="5">
        <v>103837</v>
      </c>
      <c r="B8" s="6" t="s">
        <v>151</v>
      </c>
      <c r="C8" s="6" t="s">
        <v>23</v>
      </c>
      <c r="D8" s="6" t="s">
        <v>121</v>
      </c>
      <c r="E8" s="6">
        <v>8</v>
      </c>
      <c r="F8" s="6" t="s">
        <v>110</v>
      </c>
      <c r="G8" s="14">
        <f>50.5/2.2</f>
        <v>22.954545454545453</v>
      </c>
      <c r="H8" s="6">
        <f>108.9</f>
        <v>108.9</v>
      </c>
      <c r="I8" s="6">
        <f>50.7</f>
        <v>50.7</v>
      </c>
      <c r="J8" s="6">
        <f t="shared" si="0"/>
        <v>214.792899408284</v>
      </c>
      <c r="K8" s="6" t="s">
        <v>96</v>
      </c>
      <c r="L8" s="6">
        <v>2</v>
      </c>
      <c r="M8" s="6">
        <f>0</f>
        <v>0</v>
      </c>
      <c r="N8" s="6">
        <v>2</v>
      </c>
      <c r="O8" s="6">
        <f>0</f>
        <v>0</v>
      </c>
      <c r="P8" s="6">
        <v>9</v>
      </c>
      <c r="Q8" s="6">
        <f>0</f>
        <v>0</v>
      </c>
      <c r="R8" s="6">
        <v>9</v>
      </c>
      <c r="S8" s="6">
        <f>0</f>
        <v>0</v>
      </c>
      <c r="T8" s="6">
        <f>(4.24/2)</f>
        <v>2.12</v>
      </c>
      <c r="U8" s="6">
        <f>(8.4/2)</f>
        <v>4.2</v>
      </c>
      <c r="W8" s="6">
        <f>(4.8/2)</f>
        <v>2.4</v>
      </c>
      <c r="X8" s="6">
        <f>(9.92/2)</f>
        <v>4.96</v>
      </c>
      <c r="Z8" s="6" t="s">
        <v>368</v>
      </c>
      <c r="AA8" s="6" t="s">
        <v>368</v>
      </c>
      <c r="AB8" s="6" t="s">
        <v>368</v>
      </c>
      <c r="AC8" s="6" t="s">
        <v>368</v>
      </c>
      <c r="AD8" s="6" t="s">
        <v>368</v>
      </c>
      <c r="AE8" s="6" t="s">
        <v>368</v>
      </c>
      <c r="AF8" s="6">
        <f>13.4</f>
        <v>13.4</v>
      </c>
      <c r="AG8" s="6">
        <f>13.1</f>
        <v>13.1</v>
      </c>
      <c r="AU8" s="6"/>
      <c r="BH8" s="6"/>
    </row>
    <row r="9" spans="1:60" x14ac:dyDescent="0.3">
      <c r="A9" s="5">
        <v>103747</v>
      </c>
      <c r="B9" s="6" t="s">
        <v>152</v>
      </c>
      <c r="C9" s="6" t="s">
        <v>24</v>
      </c>
      <c r="D9" s="6" t="s">
        <v>123</v>
      </c>
      <c r="E9" s="6">
        <v>2</v>
      </c>
      <c r="F9" s="6" t="s">
        <v>109</v>
      </c>
      <c r="G9" s="14">
        <f>12.9/2.2</f>
        <v>5.8636363636363633</v>
      </c>
      <c r="H9" s="6">
        <f>79.21</f>
        <v>79.209999999999994</v>
      </c>
      <c r="I9" s="6">
        <f>26.7</f>
        <v>26.7</v>
      </c>
      <c r="J9" s="6">
        <f t="shared" si="0"/>
        <v>296.66666666666663</v>
      </c>
      <c r="K9" s="6" t="s">
        <v>96</v>
      </c>
      <c r="L9" s="8" t="s">
        <v>338</v>
      </c>
      <c r="M9" s="6">
        <f>(3.42/4.69)</f>
        <v>0.72921108742004259</v>
      </c>
      <c r="N9" s="8" t="s">
        <v>338</v>
      </c>
      <c r="O9" s="6">
        <f>(1.92/4.04)</f>
        <v>0.47524752475247523</v>
      </c>
      <c r="P9" s="12">
        <v>13</v>
      </c>
      <c r="Q9" s="6" t="s">
        <v>331</v>
      </c>
      <c r="R9" s="12">
        <v>13</v>
      </c>
      <c r="S9" s="6" t="s">
        <v>331</v>
      </c>
      <c r="T9" s="6">
        <f>(3/2)</f>
        <v>1.5</v>
      </c>
      <c r="U9" s="6">
        <f>(5.11/2)</f>
        <v>2.5550000000000002</v>
      </c>
      <c r="W9" s="6">
        <f>(3.3/2)</f>
        <v>1.65</v>
      </c>
      <c r="X9" s="6">
        <f>(4.81/2)</f>
        <v>2.4049999999999998</v>
      </c>
      <c r="Z9" s="6" t="s">
        <v>368</v>
      </c>
      <c r="AA9" s="6" t="s">
        <v>368</v>
      </c>
      <c r="AB9" s="6" t="s">
        <v>368</v>
      </c>
      <c r="AC9" s="6" t="s">
        <v>368</v>
      </c>
      <c r="AD9" s="6" t="s">
        <v>368</v>
      </c>
      <c r="AE9" s="6" t="s">
        <v>368</v>
      </c>
      <c r="AF9" s="6">
        <f>10.2</f>
        <v>10.199999999999999</v>
      </c>
      <c r="AG9" s="6">
        <f>9.6</f>
        <v>9.6</v>
      </c>
      <c r="AU9" s="6"/>
      <c r="BH9" s="6"/>
    </row>
    <row r="10" spans="1:60" x14ac:dyDescent="0.3">
      <c r="A10" s="5">
        <v>103916</v>
      </c>
      <c r="B10" s="6" t="s">
        <v>154</v>
      </c>
      <c r="C10" s="6" t="s">
        <v>26</v>
      </c>
      <c r="D10" s="6" t="s">
        <v>125</v>
      </c>
      <c r="E10" s="6">
        <v>1</v>
      </c>
      <c r="F10" s="6" t="s">
        <v>95</v>
      </c>
      <c r="G10" s="14">
        <f>14/2.2</f>
        <v>6.3636363636363633</v>
      </c>
      <c r="H10" s="6">
        <f>80.7</f>
        <v>80.7</v>
      </c>
      <c r="I10" s="6">
        <v>23.4</v>
      </c>
      <c r="J10" s="6">
        <f t="shared" si="0"/>
        <v>344.87179487179492</v>
      </c>
      <c r="K10" s="6" t="s">
        <v>96</v>
      </c>
      <c r="L10" s="8" t="s">
        <v>338</v>
      </c>
      <c r="M10" s="6">
        <f>(2.56/4.57)</f>
        <v>0.56017505470459517</v>
      </c>
      <c r="N10" s="8" t="s">
        <v>338</v>
      </c>
      <c r="O10" s="6">
        <f>(2.56/4.57)</f>
        <v>0.56017505470459517</v>
      </c>
      <c r="P10" s="12">
        <v>13</v>
      </c>
      <c r="Q10" s="6" t="s">
        <v>331</v>
      </c>
      <c r="R10" s="12">
        <v>13</v>
      </c>
      <c r="S10" s="6" t="s">
        <v>331</v>
      </c>
      <c r="T10" s="6">
        <f>(4.86/2)</f>
        <v>2.4300000000000002</v>
      </c>
      <c r="U10" s="6">
        <f>(4.46/2)</f>
        <v>2.23</v>
      </c>
      <c r="W10" s="6">
        <f>(4.51/2)</f>
        <v>2.2549999999999999</v>
      </c>
      <c r="X10" s="6">
        <f>(4.57/2)</f>
        <v>2.2850000000000001</v>
      </c>
      <c r="Z10" s="6" t="s">
        <v>368</v>
      </c>
      <c r="AA10" s="6" t="s">
        <v>368</v>
      </c>
      <c r="AB10" s="6" t="s">
        <v>368</v>
      </c>
      <c r="AC10" s="6" t="s">
        <v>368</v>
      </c>
      <c r="AD10" s="6" t="s">
        <v>368</v>
      </c>
      <c r="AE10" s="6" t="s">
        <v>368</v>
      </c>
      <c r="AF10" s="6">
        <f>9.6</f>
        <v>9.6</v>
      </c>
      <c r="AG10" s="6">
        <f>8.8</f>
        <v>8.8000000000000007</v>
      </c>
      <c r="AU10" s="6"/>
      <c r="BH10" s="6"/>
    </row>
    <row r="11" spans="1:60" x14ac:dyDescent="0.3">
      <c r="A11" s="5">
        <v>103899</v>
      </c>
      <c r="B11" s="6" t="s">
        <v>156</v>
      </c>
      <c r="C11" s="6" t="s">
        <v>30</v>
      </c>
      <c r="D11" s="6" t="s">
        <v>128</v>
      </c>
      <c r="E11" s="6">
        <v>6</v>
      </c>
      <c r="F11" s="6" t="s">
        <v>109</v>
      </c>
      <c r="G11" s="14">
        <f>70.7/2.2</f>
        <v>32.136363636363633</v>
      </c>
      <c r="H11" s="6">
        <f>117</f>
        <v>117</v>
      </c>
      <c r="I11" s="6">
        <f>60</f>
        <v>60</v>
      </c>
      <c r="J11" s="6">
        <f t="shared" si="0"/>
        <v>195</v>
      </c>
      <c r="K11" s="6" t="s">
        <v>96</v>
      </c>
      <c r="L11" s="6">
        <v>2</v>
      </c>
      <c r="M11" s="6">
        <f>0</f>
        <v>0</v>
      </c>
      <c r="N11" s="6">
        <v>2</v>
      </c>
      <c r="O11" s="6">
        <f>0</f>
        <v>0</v>
      </c>
      <c r="P11" s="6">
        <v>9</v>
      </c>
      <c r="Q11" s="6">
        <f>0</f>
        <v>0</v>
      </c>
      <c r="R11" s="6">
        <v>9</v>
      </c>
      <c r="S11" s="6">
        <f>0</f>
        <v>0</v>
      </c>
      <c r="T11" s="6">
        <f>(5.11/2)</f>
        <v>2.5550000000000002</v>
      </c>
      <c r="U11" s="6">
        <f>(6.12/2)</f>
        <v>3.06</v>
      </c>
      <c r="W11" s="6">
        <f>(4.5/2)</f>
        <v>2.25</v>
      </c>
      <c r="X11" s="6">
        <f>(5.4/2)</f>
        <v>2.7</v>
      </c>
      <c r="Z11" s="6">
        <f>(4.81/2)</f>
        <v>2.4049999999999998</v>
      </c>
      <c r="AA11" s="6">
        <f>(6.91/2)</f>
        <v>3.4550000000000001</v>
      </c>
      <c r="AC11" s="6">
        <f>(4.5/2)</f>
        <v>2.25</v>
      </c>
      <c r="AD11" s="6">
        <f>(7.82/2)</f>
        <v>3.91</v>
      </c>
      <c r="AF11" s="6">
        <f>15.9</f>
        <v>15.9</v>
      </c>
      <c r="AG11" s="6">
        <f>14.4</f>
        <v>14.4</v>
      </c>
      <c r="AU11" s="6"/>
      <c r="BH11" s="6"/>
    </row>
    <row r="12" spans="1:60" x14ac:dyDescent="0.3">
      <c r="A12" s="5">
        <v>103938</v>
      </c>
      <c r="B12" s="6" t="s">
        <v>157</v>
      </c>
      <c r="C12" s="6" t="s">
        <v>31</v>
      </c>
      <c r="D12" s="6" t="s">
        <v>166</v>
      </c>
      <c r="E12" s="6">
        <v>9</v>
      </c>
      <c r="F12" s="6" t="s">
        <v>110</v>
      </c>
      <c r="G12" s="14">
        <f>31.1/2.2</f>
        <v>14.136363636363637</v>
      </c>
      <c r="H12" s="6">
        <f>102.31</f>
        <v>102.31</v>
      </c>
      <c r="I12" s="6">
        <f>26.4</f>
        <v>26.4</v>
      </c>
      <c r="J12" s="6">
        <f t="shared" si="0"/>
        <v>387.53787878787881</v>
      </c>
      <c r="K12" s="6" t="s">
        <v>96</v>
      </c>
      <c r="L12" s="6" t="s">
        <v>369</v>
      </c>
      <c r="M12" s="6">
        <f>0</f>
        <v>0</v>
      </c>
      <c r="N12" s="6" t="s">
        <v>369</v>
      </c>
      <c r="O12" s="6">
        <f>0</f>
        <v>0</v>
      </c>
      <c r="P12" s="12">
        <v>13</v>
      </c>
      <c r="Q12" s="6" t="s">
        <v>331</v>
      </c>
      <c r="R12" s="12">
        <v>13</v>
      </c>
      <c r="S12" s="6" t="s">
        <v>331</v>
      </c>
      <c r="T12" s="6">
        <f>(6.64/2)</f>
        <v>3.32</v>
      </c>
      <c r="U12" s="6">
        <f>(5.14/2)</f>
        <v>2.57</v>
      </c>
      <c r="W12" s="6">
        <f>(6.46/2)</f>
        <v>3.23</v>
      </c>
      <c r="X12" s="6">
        <f>(6.03/2)</f>
        <v>3.0150000000000001</v>
      </c>
      <c r="Z12" s="6" t="s">
        <v>368</v>
      </c>
      <c r="AA12" s="6" t="s">
        <v>368</v>
      </c>
      <c r="AB12" s="6" t="s">
        <v>368</v>
      </c>
      <c r="AC12" s="6" t="s">
        <v>368</v>
      </c>
      <c r="AD12" s="6" t="s">
        <v>368</v>
      </c>
      <c r="AE12" s="6" t="s">
        <v>368</v>
      </c>
      <c r="AF12" s="6">
        <f>10.5</f>
        <v>10.5</v>
      </c>
      <c r="AG12" s="6">
        <f>11.4</f>
        <v>11.4</v>
      </c>
      <c r="AU12" s="6"/>
      <c r="BH12" s="6"/>
    </row>
    <row r="13" spans="1:60" x14ac:dyDescent="0.3">
      <c r="A13" s="5">
        <v>3382</v>
      </c>
      <c r="B13" s="6" t="s">
        <v>253</v>
      </c>
      <c r="C13" s="6" t="s">
        <v>254</v>
      </c>
      <c r="D13" s="6" t="s">
        <v>255</v>
      </c>
      <c r="E13" s="6">
        <v>12</v>
      </c>
      <c r="F13" s="6" t="s">
        <v>110</v>
      </c>
      <c r="G13" s="14">
        <f>18.73/2.2</f>
        <v>8.5136363636363637</v>
      </c>
      <c r="H13" s="6">
        <f>78</f>
        <v>78</v>
      </c>
      <c r="I13" s="6">
        <f>37.8</f>
        <v>37.799999999999997</v>
      </c>
      <c r="J13" s="6">
        <f>(H13*100)/I13</f>
        <v>206.34920634920636</v>
      </c>
      <c r="K13" s="6" t="s">
        <v>96</v>
      </c>
      <c r="L13" s="8" t="s">
        <v>338</v>
      </c>
      <c r="M13" s="6">
        <f>(1.75/4.82)</f>
        <v>0.36307053941908712</v>
      </c>
      <c r="N13" s="8" t="s">
        <v>338</v>
      </c>
      <c r="O13" s="6">
        <f>(1.5/4.92)</f>
        <v>0.3048780487804878</v>
      </c>
      <c r="P13" s="12">
        <v>13</v>
      </c>
      <c r="Q13" s="6" t="s">
        <v>331</v>
      </c>
      <c r="R13" s="12">
        <v>13</v>
      </c>
      <c r="S13" s="6" t="s">
        <v>331</v>
      </c>
      <c r="T13" s="6">
        <f>(4.81/2)</f>
        <v>2.4049999999999998</v>
      </c>
      <c r="U13" s="6">
        <f>(6.01/2)</f>
        <v>3.0049999999999999</v>
      </c>
      <c r="W13" s="6">
        <f>(4.8/2)</f>
        <v>2.4</v>
      </c>
      <c r="X13" s="6">
        <f>(6/2)</f>
        <v>3</v>
      </c>
      <c r="Z13" s="6" t="s">
        <v>368</v>
      </c>
      <c r="AA13" s="6" t="s">
        <v>368</v>
      </c>
      <c r="AB13" s="6" t="s">
        <v>368</v>
      </c>
      <c r="AC13" s="6" t="s">
        <v>368</v>
      </c>
      <c r="AD13" s="6" t="s">
        <v>368</v>
      </c>
      <c r="AE13" s="6" t="s">
        <v>368</v>
      </c>
      <c r="AF13" s="6">
        <f>10.2</f>
        <v>10.199999999999999</v>
      </c>
      <c r="AG13" s="6">
        <f>10.2</f>
        <v>10.199999999999999</v>
      </c>
      <c r="AU13" s="6"/>
      <c r="BH13" s="6"/>
    </row>
    <row r="14" spans="1:60" x14ac:dyDescent="0.3">
      <c r="A14" s="5">
        <v>103939</v>
      </c>
      <c r="B14" s="6" t="s">
        <v>165</v>
      </c>
      <c r="C14" s="6" t="s">
        <v>39</v>
      </c>
      <c r="D14" s="6" t="s">
        <v>98</v>
      </c>
      <c r="E14" s="6">
        <v>5</v>
      </c>
      <c r="F14" s="6" t="s">
        <v>110</v>
      </c>
      <c r="G14" s="14">
        <f>65.6/2.2</f>
        <v>29.818181818181813</v>
      </c>
      <c r="H14" s="6">
        <f>121.8</f>
        <v>121.8</v>
      </c>
      <c r="I14" s="6">
        <f>71.7</f>
        <v>71.7</v>
      </c>
      <c r="J14" s="6">
        <f t="shared" si="0"/>
        <v>169.87447698744768</v>
      </c>
      <c r="K14" s="6" t="s">
        <v>96</v>
      </c>
      <c r="L14" s="6">
        <v>2</v>
      </c>
      <c r="M14" s="6">
        <f>0</f>
        <v>0</v>
      </c>
      <c r="N14" s="6">
        <v>2</v>
      </c>
      <c r="O14" s="6">
        <f>0</f>
        <v>0</v>
      </c>
      <c r="P14" s="6">
        <v>9</v>
      </c>
      <c r="Q14" s="6">
        <f>0</f>
        <v>0</v>
      </c>
      <c r="R14" s="6">
        <v>9</v>
      </c>
      <c r="S14" s="6">
        <f>0</f>
        <v>0</v>
      </c>
      <c r="T14" s="6">
        <f>(4.8/2)</f>
        <v>2.4</v>
      </c>
      <c r="U14" s="6">
        <f>(6.9/2)</f>
        <v>3.45</v>
      </c>
      <c r="W14" s="6">
        <f>(4.8/2)</f>
        <v>2.4</v>
      </c>
      <c r="X14" s="6">
        <f>(7.21/2)</f>
        <v>3.605</v>
      </c>
      <c r="Z14" s="6">
        <f>(5.11/2)</f>
        <v>2.5550000000000002</v>
      </c>
      <c r="AA14" s="6">
        <f>(9.3/2)</f>
        <v>4.6500000000000004</v>
      </c>
      <c r="AC14" s="6">
        <f>(4.2/2)</f>
        <v>2.1</v>
      </c>
      <c r="AD14" s="6">
        <f>(10.22/2)</f>
        <v>5.1100000000000003</v>
      </c>
      <c r="AF14" s="6">
        <f>14.1</f>
        <v>14.1</v>
      </c>
      <c r="AG14" s="6">
        <f>15</f>
        <v>15</v>
      </c>
      <c r="AU14" s="6"/>
      <c r="BH14" s="6"/>
    </row>
    <row r="15" spans="1:60" x14ac:dyDescent="0.3">
      <c r="A15" s="5">
        <v>103833</v>
      </c>
      <c r="B15" s="7" t="s">
        <v>180</v>
      </c>
      <c r="C15" s="6" t="s">
        <v>40</v>
      </c>
      <c r="D15" s="6" t="s">
        <v>102</v>
      </c>
      <c r="E15" s="6">
        <v>4</v>
      </c>
      <c r="F15" s="6" t="s">
        <v>109</v>
      </c>
      <c r="G15" s="14">
        <f>13.24/2.2</f>
        <v>6.0181818181818176</v>
      </c>
      <c r="H15" s="6">
        <f>85.8</f>
        <v>85.8</v>
      </c>
      <c r="I15" s="6">
        <f>39.9</f>
        <v>39.9</v>
      </c>
      <c r="J15" s="6">
        <f t="shared" si="0"/>
        <v>215.03759398496243</v>
      </c>
      <c r="K15" s="6" t="s">
        <v>96</v>
      </c>
      <c r="L15" s="8" t="s">
        <v>338</v>
      </c>
      <c r="M15" s="6">
        <f>(2.16/5.64)</f>
        <v>0.38297872340425537</v>
      </c>
      <c r="N15" s="8" t="s">
        <v>338</v>
      </c>
      <c r="O15" s="6">
        <f>(2.28/6.07)</f>
        <v>0.37561779242174625</v>
      </c>
      <c r="P15" s="12">
        <v>13</v>
      </c>
      <c r="Q15" s="6" t="s">
        <v>331</v>
      </c>
      <c r="R15" s="12">
        <v>13</v>
      </c>
      <c r="S15" s="6" t="s">
        <v>331</v>
      </c>
      <c r="T15" s="6">
        <f>(4.21/2)</f>
        <v>2.105</v>
      </c>
      <c r="U15" s="6">
        <f>(4.81/2)</f>
        <v>2.4049999999999998</v>
      </c>
      <c r="W15" s="6">
        <f>(4.66/2)</f>
        <v>2.33</v>
      </c>
      <c r="X15" s="6">
        <f>(4.88/2)</f>
        <v>2.44</v>
      </c>
      <c r="Z15" s="6" t="s">
        <v>368</v>
      </c>
      <c r="AA15" s="6" t="s">
        <v>368</v>
      </c>
      <c r="AB15" s="6" t="s">
        <v>368</v>
      </c>
      <c r="AC15" s="6" t="s">
        <v>368</v>
      </c>
      <c r="AD15" s="6" t="s">
        <v>368</v>
      </c>
      <c r="AE15" s="6" t="s">
        <v>368</v>
      </c>
      <c r="AF15" s="6">
        <f>10.8</f>
        <v>10.8</v>
      </c>
      <c r="AG15" s="6">
        <f>10.5</f>
        <v>10.5</v>
      </c>
      <c r="AU15" s="6"/>
      <c r="BH15" s="6"/>
    </row>
    <row r="16" spans="1:60" x14ac:dyDescent="0.3">
      <c r="A16" s="5">
        <v>103969</v>
      </c>
      <c r="B16" s="6" t="s">
        <v>185</v>
      </c>
      <c r="C16" s="6" t="s">
        <v>45</v>
      </c>
      <c r="D16" s="6" t="s">
        <v>103</v>
      </c>
      <c r="E16" s="6">
        <v>1</v>
      </c>
      <c r="F16" s="6" t="s">
        <v>95</v>
      </c>
      <c r="G16" s="14">
        <f>51.3/2.2</f>
        <v>23.318181818181817</v>
      </c>
      <c r="H16" s="6">
        <f>120.9</f>
        <v>120.9</v>
      </c>
      <c r="I16" s="6">
        <f>42.9</f>
        <v>42.9</v>
      </c>
      <c r="J16" s="6">
        <f t="shared" si="0"/>
        <v>281.81818181818181</v>
      </c>
      <c r="K16" s="6" t="s">
        <v>96</v>
      </c>
      <c r="L16" s="6">
        <v>2</v>
      </c>
      <c r="M16" s="6">
        <f>0</f>
        <v>0</v>
      </c>
      <c r="N16" s="6" t="s">
        <v>369</v>
      </c>
      <c r="O16" s="6">
        <f>0</f>
        <v>0</v>
      </c>
      <c r="P16" s="12">
        <v>13</v>
      </c>
      <c r="Q16" s="6" t="s">
        <v>331</v>
      </c>
      <c r="R16" s="12">
        <v>13</v>
      </c>
      <c r="S16" s="6" t="s">
        <v>331</v>
      </c>
      <c r="T16" s="6">
        <f>(3.9/2)</f>
        <v>1.95</v>
      </c>
      <c r="U16" s="6">
        <f>(4.21/2)</f>
        <v>2.105</v>
      </c>
      <c r="W16" s="6">
        <f>(4.81/2)</f>
        <v>2.4049999999999998</v>
      </c>
      <c r="X16" s="6">
        <f>(7.51/2)</f>
        <v>3.7549999999999999</v>
      </c>
      <c r="Z16" s="6" t="s">
        <v>368</v>
      </c>
      <c r="AA16" s="6" t="s">
        <v>368</v>
      </c>
      <c r="AB16" s="6" t="s">
        <v>368</v>
      </c>
      <c r="AC16" s="6" t="s">
        <v>368</v>
      </c>
      <c r="AD16" s="6" t="s">
        <v>368</v>
      </c>
      <c r="AE16" s="6" t="s">
        <v>368</v>
      </c>
      <c r="AF16" s="6">
        <f>14.7</f>
        <v>14.7</v>
      </c>
      <c r="AG16" s="6">
        <f>13.5</f>
        <v>13.5</v>
      </c>
      <c r="AU16" s="6"/>
      <c r="BH16" s="6"/>
    </row>
    <row r="17" spans="1:60" x14ac:dyDescent="0.3">
      <c r="A17" s="5">
        <v>103981</v>
      </c>
      <c r="B17" s="6" t="s">
        <v>186</v>
      </c>
      <c r="C17" s="6" t="s">
        <v>46</v>
      </c>
      <c r="D17" s="6" t="s">
        <v>120</v>
      </c>
      <c r="E17" s="6">
        <v>11</v>
      </c>
      <c r="F17" s="6" t="s">
        <v>110</v>
      </c>
      <c r="G17" s="14">
        <f>7.6/2.2</f>
        <v>3.4545454545454541</v>
      </c>
      <c r="H17" s="6">
        <f>102.7</f>
        <v>102.7</v>
      </c>
      <c r="I17" s="6">
        <v>28.8</v>
      </c>
      <c r="J17" s="6">
        <f t="shared" si="0"/>
        <v>356.59722222222223</v>
      </c>
      <c r="K17" s="6" t="s">
        <v>96</v>
      </c>
      <c r="L17" s="6">
        <v>6</v>
      </c>
      <c r="M17" s="6">
        <f>0</f>
        <v>0</v>
      </c>
      <c r="N17" s="6">
        <v>6</v>
      </c>
      <c r="O17" s="6">
        <f>0</f>
        <v>0</v>
      </c>
      <c r="P17" s="12">
        <v>13</v>
      </c>
      <c r="Q17" s="6" t="s">
        <v>331</v>
      </c>
      <c r="R17" s="12">
        <v>13</v>
      </c>
      <c r="S17" s="6" t="s">
        <v>331</v>
      </c>
      <c r="T17" s="6">
        <f>(3.23/2)</f>
        <v>1.615</v>
      </c>
      <c r="U17" s="6">
        <f>(4.66/2)</f>
        <v>2.33</v>
      </c>
      <c r="W17" s="6">
        <f>(3.35/2)</f>
        <v>1.675</v>
      </c>
      <c r="X17" s="6">
        <f>(4.66/2)</f>
        <v>2.33</v>
      </c>
      <c r="Z17" s="6" t="s">
        <v>368</v>
      </c>
      <c r="AA17" s="6" t="s">
        <v>368</v>
      </c>
      <c r="AB17" s="6" t="s">
        <v>368</v>
      </c>
      <c r="AC17" s="6" t="s">
        <v>368</v>
      </c>
      <c r="AD17" s="6" t="s">
        <v>368</v>
      </c>
      <c r="AE17" s="6" t="s">
        <v>368</v>
      </c>
      <c r="AF17" s="6">
        <f>8.4</f>
        <v>8.4</v>
      </c>
      <c r="AG17" s="6">
        <f>7.5</f>
        <v>7.5</v>
      </c>
      <c r="AU17" s="6"/>
      <c r="BH17" s="6"/>
    </row>
    <row r="18" spans="1:60" x14ac:dyDescent="0.3">
      <c r="A18" s="5">
        <v>104002</v>
      </c>
      <c r="B18" s="6" t="s">
        <v>191</v>
      </c>
      <c r="C18" s="6" t="s">
        <v>51</v>
      </c>
      <c r="D18" s="6" t="s">
        <v>122</v>
      </c>
      <c r="E18" s="6">
        <v>4</v>
      </c>
      <c r="F18" s="6" t="s">
        <v>110</v>
      </c>
      <c r="G18" s="14">
        <f>12.3/2.2</f>
        <v>5.5909090909090908</v>
      </c>
      <c r="H18" s="6">
        <f>78.31</f>
        <v>78.31</v>
      </c>
      <c r="I18" s="6">
        <f>36.3</f>
        <v>36.299999999999997</v>
      </c>
      <c r="J18" s="6">
        <f t="shared" si="0"/>
        <v>215.73002754820939</v>
      </c>
      <c r="K18" s="6" t="s">
        <v>96</v>
      </c>
      <c r="L18" s="12">
        <v>13</v>
      </c>
      <c r="M18" s="6" t="s">
        <v>331</v>
      </c>
      <c r="N18" s="12">
        <v>13</v>
      </c>
      <c r="O18" s="6" t="s">
        <v>331</v>
      </c>
      <c r="P18" s="12">
        <v>13</v>
      </c>
      <c r="Q18" s="6" t="s">
        <v>331</v>
      </c>
      <c r="R18" s="12">
        <v>13</v>
      </c>
      <c r="S18" s="6" t="s">
        <v>331</v>
      </c>
      <c r="T18" s="7" t="s">
        <v>368</v>
      </c>
      <c r="U18" s="6" t="s">
        <v>368</v>
      </c>
      <c r="V18" s="6" t="s">
        <v>368</v>
      </c>
      <c r="W18" s="6" t="s">
        <v>368</v>
      </c>
      <c r="X18" s="6" t="s">
        <v>368</v>
      </c>
      <c r="Y18" s="6" t="s">
        <v>368</v>
      </c>
      <c r="Z18" s="6" t="s">
        <v>368</v>
      </c>
      <c r="AA18" s="6" t="s">
        <v>368</v>
      </c>
      <c r="AB18" s="6" t="s">
        <v>368</v>
      </c>
      <c r="AC18" s="6" t="s">
        <v>368</v>
      </c>
      <c r="AD18" s="6" t="s">
        <v>368</v>
      </c>
      <c r="AE18" s="6" t="s">
        <v>368</v>
      </c>
      <c r="AF18" s="6">
        <f>9.3</f>
        <v>9.3000000000000007</v>
      </c>
      <c r="AG18" s="6">
        <f>9.3</f>
        <v>9.3000000000000007</v>
      </c>
      <c r="AU18" s="6"/>
      <c r="BH18" s="6"/>
    </row>
    <row r="19" spans="1:60" x14ac:dyDescent="0.3">
      <c r="A19" s="5">
        <v>104439</v>
      </c>
      <c r="B19" s="6" t="s">
        <v>260</v>
      </c>
      <c r="C19" s="6" t="s">
        <v>261</v>
      </c>
      <c r="D19" s="6" t="s">
        <v>262</v>
      </c>
      <c r="E19" s="6">
        <v>10</v>
      </c>
      <c r="F19" s="6" t="s">
        <v>109</v>
      </c>
      <c r="G19" s="14">
        <f>27.3/2.2</f>
        <v>12.409090909090908</v>
      </c>
      <c r="H19" s="6">
        <f>110</f>
        <v>110</v>
      </c>
      <c r="I19" s="6">
        <f>21</f>
        <v>21</v>
      </c>
      <c r="J19" s="6">
        <f>(H19*100)/I19</f>
        <v>523.80952380952385</v>
      </c>
      <c r="K19" s="6" t="s">
        <v>96</v>
      </c>
      <c r="L19" s="7">
        <v>2</v>
      </c>
      <c r="M19" s="6">
        <f>0</f>
        <v>0</v>
      </c>
      <c r="N19" s="6">
        <v>2</v>
      </c>
      <c r="O19" s="6">
        <f>0</f>
        <v>0</v>
      </c>
      <c r="P19" s="12">
        <v>13</v>
      </c>
      <c r="Q19" s="6" t="s">
        <v>331</v>
      </c>
      <c r="R19" s="12">
        <v>13</v>
      </c>
      <c r="S19" s="6" t="s">
        <v>331</v>
      </c>
      <c r="T19" s="6" t="s">
        <v>368</v>
      </c>
      <c r="U19" s="6" t="s">
        <v>368</v>
      </c>
      <c r="V19" s="6" t="s">
        <v>368</v>
      </c>
      <c r="W19" s="6" t="s">
        <v>368</v>
      </c>
      <c r="X19" s="6" t="s">
        <v>368</v>
      </c>
      <c r="Y19" s="6" t="s">
        <v>368</v>
      </c>
      <c r="Z19" s="6" t="s">
        <v>368</v>
      </c>
      <c r="AA19" s="6" t="s">
        <v>368</v>
      </c>
      <c r="AB19" s="6" t="s">
        <v>368</v>
      </c>
      <c r="AC19" s="6" t="s">
        <v>368</v>
      </c>
      <c r="AD19" s="6" t="s">
        <v>368</v>
      </c>
      <c r="AE19" s="6" t="s">
        <v>368</v>
      </c>
      <c r="AF19" s="6">
        <f>12.6</f>
        <v>12.6</v>
      </c>
      <c r="AG19" s="6">
        <f>11.7</f>
        <v>11.7</v>
      </c>
      <c r="AU19" s="6"/>
      <c r="BH19" s="6"/>
    </row>
    <row r="20" spans="1:60" x14ac:dyDescent="0.3">
      <c r="A20" s="5">
        <v>103980</v>
      </c>
      <c r="B20" s="6" t="s">
        <v>195</v>
      </c>
      <c r="C20" s="6" t="s">
        <v>56</v>
      </c>
      <c r="D20" s="6" t="s">
        <v>94</v>
      </c>
      <c r="E20" s="6">
        <v>12</v>
      </c>
      <c r="F20" s="6" t="s">
        <v>109</v>
      </c>
      <c r="G20" s="14">
        <f>7.08/2.2</f>
        <v>3.2181818181818178</v>
      </c>
      <c r="H20" s="6">
        <f>66.01</f>
        <v>66.010000000000005</v>
      </c>
      <c r="I20" s="6">
        <f>30</f>
        <v>30</v>
      </c>
      <c r="J20" s="6">
        <f t="shared" si="0"/>
        <v>220.03333333333336</v>
      </c>
      <c r="K20" s="6" t="s">
        <v>96</v>
      </c>
      <c r="L20" s="8" t="s">
        <v>375</v>
      </c>
      <c r="M20" s="6">
        <f>(2.4/4.17)</f>
        <v>0.57553956834532372</v>
      </c>
      <c r="N20" s="8" t="s">
        <v>338</v>
      </c>
      <c r="O20" s="6">
        <f>(2.01/3.62)</f>
        <v>0.55524861878453036</v>
      </c>
      <c r="P20" s="12">
        <v>13</v>
      </c>
      <c r="Q20" s="7" t="s">
        <v>331</v>
      </c>
      <c r="R20" s="12">
        <v>13</v>
      </c>
      <c r="S20" s="7" t="s">
        <v>331</v>
      </c>
      <c r="T20" s="6">
        <f>(3.23/2)</f>
        <v>1.615</v>
      </c>
      <c r="U20" s="6">
        <f>(4.66/3)</f>
        <v>1.5533333333333335</v>
      </c>
      <c r="W20" s="6">
        <f>(3/2)</f>
        <v>1.5</v>
      </c>
      <c r="X20" s="6">
        <f>(4.84/2)</f>
        <v>2.42</v>
      </c>
      <c r="Z20" s="6" t="s">
        <v>368</v>
      </c>
      <c r="AA20" s="6" t="s">
        <v>368</v>
      </c>
      <c r="AB20" s="6" t="s">
        <v>368</v>
      </c>
      <c r="AC20" s="6" t="s">
        <v>368</v>
      </c>
      <c r="AD20" s="6" t="s">
        <v>368</v>
      </c>
      <c r="AE20" s="6" t="s">
        <v>368</v>
      </c>
      <c r="AF20" s="6">
        <f>7</f>
        <v>7</v>
      </c>
      <c r="AG20" s="6">
        <f>6.6</f>
        <v>6.6</v>
      </c>
      <c r="AU20" s="6"/>
      <c r="BH20" s="6"/>
    </row>
    <row r="21" spans="1:60" x14ac:dyDescent="0.3">
      <c r="A21" s="5">
        <v>104111</v>
      </c>
      <c r="B21" s="6" t="s">
        <v>201</v>
      </c>
      <c r="C21" s="6" t="s">
        <v>62</v>
      </c>
      <c r="D21" s="6" t="s">
        <v>125</v>
      </c>
      <c r="E21" s="6">
        <v>1</v>
      </c>
      <c r="F21" s="6" t="s">
        <v>109</v>
      </c>
      <c r="G21" s="14">
        <f>14.74/2.2</f>
        <v>6.6999999999999993</v>
      </c>
      <c r="H21" s="6">
        <f>86.4</f>
        <v>86.4</v>
      </c>
      <c r="I21" s="6">
        <f>33</f>
        <v>33</v>
      </c>
      <c r="J21" s="6">
        <f t="shared" si="0"/>
        <v>261.81818181818181</v>
      </c>
      <c r="K21" s="6" t="s">
        <v>96</v>
      </c>
      <c r="L21" s="6">
        <v>2</v>
      </c>
      <c r="M21" s="6">
        <f>0</f>
        <v>0</v>
      </c>
      <c r="N21" s="6">
        <v>2</v>
      </c>
      <c r="O21" s="6">
        <f>0</f>
        <v>0</v>
      </c>
      <c r="P21" s="13" t="s">
        <v>383</v>
      </c>
      <c r="Q21" s="7">
        <f>(3/5.1)</f>
        <v>0.58823529411764708</v>
      </c>
      <c r="R21" s="13" t="s">
        <v>383</v>
      </c>
      <c r="S21" s="7">
        <f>(2.42/4.81)</f>
        <v>0.50311850311850315</v>
      </c>
      <c r="T21" s="6">
        <f>(3.6/2)</f>
        <v>1.8</v>
      </c>
      <c r="U21" s="6">
        <f>(4.5/2)</f>
        <v>2.25</v>
      </c>
      <c r="W21" s="6">
        <f>(3.61/2)</f>
        <v>1.8049999999999999</v>
      </c>
      <c r="X21" s="6">
        <f>(6.33/2)</f>
        <v>3.165</v>
      </c>
      <c r="Z21" s="6">
        <f>(5.4/2)</f>
        <v>2.7</v>
      </c>
      <c r="AA21" s="6">
        <f>(5.1/2)</f>
        <v>2.5499999999999998</v>
      </c>
      <c r="AC21" s="6">
        <f>(5.11/2)</f>
        <v>2.5550000000000002</v>
      </c>
      <c r="AD21" s="6">
        <f>(4.81/2)</f>
        <v>2.4049999999999998</v>
      </c>
      <c r="AF21" s="6">
        <f>11.1</f>
        <v>11.1</v>
      </c>
      <c r="AG21" s="6">
        <f>11.1</f>
        <v>11.1</v>
      </c>
      <c r="AU21" s="6"/>
      <c r="BH21" s="6"/>
    </row>
    <row r="22" spans="1:60" x14ac:dyDescent="0.3">
      <c r="A22" s="5">
        <v>104054</v>
      </c>
      <c r="B22" s="6" t="s">
        <v>203</v>
      </c>
      <c r="C22" s="6" t="s">
        <v>27</v>
      </c>
      <c r="D22" s="6" t="s">
        <v>166</v>
      </c>
      <c r="E22" s="6">
        <v>4</v>
      </c>
      <c r="F22" s="6" t="s">
        <v>109</v>
      </c>
      <c r="G22" s="14">
        <f>25.3/2.2</f>
        <v>11.5</v>
      </c>
      <c r="H22" s="6">
        <f>99.6</f>
        <v>99.6</v>
      </c>
      <c r="I22" s="6">
        <f>30.91</f>
        <v>30.91</v>
      </c>
      <c r="J22" s="6">
        <f t="shared" si="0"/>
        <v>322.22581688773857</v>
      </c>
      <c r="K22" s="6" t="s">
        <v>96</v>
      </c>
      <c r="L22" s="6" t="s">
        <v>372</v>
      </c>
      <c r="M22" s="6">
        <f>0</f>
        <v>0</v>
      </c>
      <c r="N22" s="6" t="s">
        <v>372</v>
      </c>
      <c r="O22" s="6">
        <f>0</f>
        <v>0</v>
      </c>
      <c r="P22" s="12">
        <v>13</v>
      </c>
      <c r="Q22" s="6" t="s">
        <v>331</v>
      </c>
      <c r="R22" s="12">
        <v>13</v>
      </c>
      <c r="S22" s="6" t="s">
        <v>331</v>
      </c>
      <c r="T22" s="6" t="s">
        <v>368</v>
      </c>
      <c r="U22" s="6" t="s">
        <v>368</v>
      </c>
      <c r="V22" s="6" t="s">
        <v>368</v>
      </c>
      <c r="W22" s="6" t="s">
        <v>368</v>
      </c>
      <c r="X22" s="6" t="s">
        <v>368</v>
      </c>
      <c r="Y22" s="6" t="s">
        <v>368</v>
      </c>
      <c r="Z22" s="6" t="s">
        <v>368</v>
      </c>
      <c r="AA22" s="6" t="s">
        <v>368</v>
      </c>
      <c r="AB22" s="6" t="s">
        <v>368</v>
      </c>
      <c r="AC22" s="6" t="s">
        <v>368</v>
      </c>
      <c r="AD22" s="6" t="s">
        <v>368</v>
      </c>
      <c r="AE22" s="6" t="s">
        <v>368</v>
      </c>
      <c r="AF22" s="6">
        <f>11.4</f>
        <v>11.4</v>
      </c>
      <c r="AG22" s="6">
        <f>11.4</f>
        <v>11.4</v>
      </c>
      <c r="AU22" s="6"/>
      <c r="BH22" s="6"/>
    </row>
    <row r="23" spans="1:60" x14ac:dyDescent="0.3">
      <c r="A23" s="5">
        <v>104432</v>
      </c>
      <c r="B23" s="6" t="s">
        <v>256</v>
      </c>
      <c r="C23" s="6" t="s">
        <v>50</v>
      </c>
      <c r="D23" s="6" t="s">
        <v>257</v>
      </c>
      <c r="E23" s="6">
        <v>1</v>
      </c>
      <c r="F23" s="6" t="s">
        <v>109</v>
      </c>
      <c r="G23" s="14">
        <f>118.8/2.2</f>
        <v>53.999999999999993</v>
      </c>
      <c r="H23" s="6">
        <f>124</f>
        <v>124</v>
      </c>
      <c r="I23" s="6">
        <f>72</f>
        <v>72</v>
      </c>
      <c r="J23" s="6">
        <f>(H23*100)/I23</f>
        <v>172.22222222222223</v>
      </c>
      <c r="K23" s="6" t="s">
        <v>96</v>
      </c>
      <c r="L23" s="6">
        <v>2</v>
      </c>
      <c r="M23" s="6">
        <f>0</f>
        <v>0</v>
      </c>
      <c r="N23" s="6" t="s">
        <v>369</v>
      </c>
      <c r="O23" s="6">
        <f>0</f>
        <v>0</v>
      </c>
      <c r="P23" s="6">
        <v>9</v>
      </c>
      <c r="Q23" s="6">
        <f>0</f>
        <v>0</v>
      </c>
      <c r="R23" s="6">
        <v>9</v>
      </c>
      <c r="S23" s="6">
        <f>0</f>
        <v>0</v>
      </c>
      <c r="T23" s="6">
        <f>(3.5/2)</f>
        <v>1.75</v>
      </c>
      <c r="U23" s="6">
        <f>(10.19/2)</f>
        <v>5.0949999999999998</v>
      </c>
      <c r="W23" s="6">
        <f>(3.66/2)</f>
        <v>1.83</v>
      </c>
      <c r="X23" s="6">
        <f>(9.77/2)</f>
        <v>4.8849999999999998</v>
      </c>
      <c r="Z23" s="6">
        <f>(4.8/2)</f>
        <v>2.4</v>
      </c>
      <c r="AA23" s="6">
        <f>(11.1/2)</f>
        <v>5.55</v>
      </c>
      <c r="AC23" s="6">
        <f>(5.4/2)</f>
        <v>2.7</v>
      </c>
      <c r="AD23" s="6">
        <f>(11.72/2)</f>
        <v>5.86</v>
      </c>
      <c r="AF23" s="6">
        <f>15.6</f>
        <v>15.6</v>
      </c>
      <c r="AG23" s="6">
        <f>14.7</f>
        <v>14.7</v>
      </c>
      <c r="AU23" s="6"/>
      <c r="BH23" s="6"/>
    </row>
    <row r="24" spans="1:60" x14ac:dyDescent="0.3">
      <c r="A24" s="5">
        <v>104135</v>
      </c>
      <c r="B24" s="6" t="s">
        <v>205</v>
      </c>
      <c r="C24" s="6" t="s">
        <v>65</v>
      </c>
      <c r="D24" s="6" t="s">
        <v>170</v>
      </c>
      <c r="E24" s="6">
        <v>6</v>
      </c>
      <c r="F24" s="6" t="s">
        <v>109</v>
      </c>
      <c r="G24" s="14">
        <f>80.3/2.2</f>
        <v>36.499999999999993</v>
      </c>
      <c r="H24" s="6">
        <f>124.8</f>
        <v>124.8</v>
      </c>
      <c r="I24" s="6">
        <f>80.7</f>
        <v>80.7</v>
      </c>
      <c r="J24" s="6">
        <f t="shared" si="0"/>
        <v>154.64684014869889</v>
      </c>
      <c r="K24" s="6" t="s">
        <v>96</v>
      </c>
      <c r="L24" s="6">
        <v>2</v>
      </c>
      <c r="M24" s="6">
        <f>0</f>
        <v>0</v>
      </c>
      <c r="N24" s="6" t="s">
        <v>372</v>
      </c>
      <c r="O24" s="6">
        <f>0</f>
        <v>0</v>
      </c>
      <c r="P24" s="6">
        <v>9</v>
      </c>
      <c r="Q24" s="6">
        <f>0</f>
        <v>0</v>
      </c>
      <c r="R24" s="6">
        <v>9</v>
      </c>
      <c r="S24" s="6">
        <f>0</f>
        <v>0</v>
      </c>
      <c r="T24" s="6">
        <f>(3.84/2)</f>
        <v>1.92</v>
      </c>
      <c r="U24" s="6">
        <f>(7.5/2)</f>
        <v>3.75</v>
      </c>
      <c r="W24" s="6">
        <f>(4.04/2)</f>
        <v>2.02</v>
      </c>
      <c r="X24" s="6">
        <f>(6.44/2)</f>
        <v>3.22</v>
      </c>
      <c r="Z24" s="6">
        <f>(5.1/2)</f>
        <v>2.5499999999999998</v>
      </c>
      <c r="AA24" s="6">
        <f>(6.9/2)</f>
        <v>3.45</v>
      </c>
      <c r="AC24" s="6">
        <f>(4.84/2)</f>
        <v>2.42</v>
      </c>
      <c r="AD24" s="6">
        <f>(7.22/2)</f>
        <v>3.61</v>
      </c>
      <c r="AF24" s="6">
        <f>20.7</f>
        <v>20.7</v>
      </c>
      <c r="AG24" s="6">
        <f>21.5</f>
        <v>21.5</v>
      </c>
      <c r="AU24" s="6"/>
      <c r="BH24" s="6"/>
    </row>
    <row r="25" spans="1:60" x14ac:dyDescent="0.3">
      <c r="A25" s="5">
        <v>104140</v>
      </c>
      <c r="B25" s="6" t="s">
        <v>207</v>
      </c>
      <c r="C25" s="6" t="s">
        <v>68</v>
      </c>
      <c r="D25" s="6" t="s">
        <v>120</v>
      </c>
      <c r="E25" s="6">
        <v>5</v>
      </c>
      <c r="F25" s="6" t="s">
        <v>110</v>
      </c>
      <c r="G25" s="14">
        <f>10.1/2.2</f>
        <v>4.5909090909090899</v>
      </c>
      <c r="H25" s="6">
        <f>66.3</f>
        <v>66.3</v>
      </c>
      <c r="I25" s="6">
        <f>33.9</f>
        <v>33.9</v>
      </c>
      <c r="J25" s="6">
        <f t="shared" si="0"/>
        <v>195.57522123893807</v>
      </c>
      <c r="K25" s="6" t="s">
        <v>96</v>
      </c>
      <c r="L25" s="8" t="s">
        <v>338</v>
      </c>
      <c r="M25" s="6">
        <f>(2.68/3.79)</f>
        <v>0.7071240105540898</v>
      </c>
      <c r="N25" s="8" t="s">
        <v>338</v>
      </c>
      <c r="O25" s="6">
        <f>(2.56/3.62)</f>
        <v>0.70718232044198892</v>
      </c>
      <c r="P25" s="12">
        <v>13</v>
      </c>
      <c r="Q25" s="6" t="s">
        <v>331</v>
      </c>
      <c r="R25" s="12">
        <v>13</v>
      </c>
      <c r="S25" s="6" t="s">
        <v>331</v>
      </c>
      <c r="T25" s="6">
        <f>(2.85/2)</f>
        <v>1.425</v>
      </c>
      <c r="U25" s="6">
        <f>(4.24/2)</f>
        <v>2.12</v>
      </c>
      <c r="W25" s="6">
        <f>(2.56/2)</f>
        <v>1.28</v>
      </c>
      <c r="X25" s="6">
        <f>(4.74/2)</f>
        <v>2.37</v>
      </c>
      <c r="Z25" s="6" t="s">
        <v>368</v>
      </c>
      <c r="AA25" s="6" t="s">
        <v>368</v>
      </c>
      <c r="AB25" s="6" t="s">
        <v>368</v>
      </c>
      <c r="AC25" s="6" t="s">
        <v>368</v>
      </c>
      <c r="AD25" s="6" t="s">
        <v>368</v>
      </c>
      <c r="AE25" s="6" t="s">
        <v>368</v>
      </c>
      <c r="AF25" s="6">
        <f>7.8</f>
        <v>7.8</v>
      </c>
      <c r="AG25" s="6">
        <v>7.9</v>
      </c>
      <c r="AU25" s="6"/>
      <c r="BH25" s="6"/>
    </row>
    <row r="26" spans="1:60" x14ac:dyDescent="0.3">
      <c r="A26" s="5">
        <v>104137</v>
      </c>
      <c r="B26" s="6" t="s">
        <v>211</v>
      </c>
      <c r="C26" s="6" t="s">
        <v>72</v>
      </c>
      <c r="D26" s="6" t="s">
        <v>103</v>
      </c>
      <c r="E26" s="6">
        <v>3</v>
      </c>
      <c r="F26" s="6" t="s">
        <v>110</v>
      </c>
      <c r="G26" s="14">
        <f>72.4/2.2</f>
        <v>32.909090909090907</v>
      </c>
      <c r="H26" s="6">
        <f>136.8</f>
        <v>136.80000000000001</v>
      </c>
      <c r="I26" s="6">
        <f>61.51</f>
        <v>61.51</v>
      </c>
      <c r="J26" s="6">
        <f t="shared" ref="J26" si="1">(H26*100)/I26</f>
        <v>222.40286132336209</v>
      </c>
      <c r="K26" s="6" t="s">
        <v>96</v>
      </c>
      <c r="L26" s="6">
        <v>2</v>
      </c>
      <c r="M26" s="6">
        <f>0</f>
        <v>0</v>
      </c>
      <c r="N26" s="6">
        <v>2</v>
      </c>
      <c r="O26" s="6">
        <f>0</f>
        <v>0</v>
      </c>
      <c r="P26" s="6">
        <v>9</v>
      </c>
      <c r="Q26" s="6">
        <f>0</f>
        <v>0</v>
      </c>
      <c r="R26" s="6">
        <v>9</v>
      </c>
      <c r="S26" s="6">
        <f>0</f>
        <v>0</v>
      </c>
      <c r="T26" s="6">
        <f>(4.84/2)</f>
        <v>2.42</v>
      </c>
      <c r="U26" s="6">
        <f>(7.89/2)</f>
        <v>3.9449999999999998</v>
      </c>
      <c r="W26" s="6">
        <f>(5.7/2)</f>
        <v>2.85</v>
      </c>
      <c r="X26" s="6">
        <f>(6.96/2)</f>
        <v>3.48</v>
      </c>
      <c r="Z26" s="6" t="s">
        <v>368</v>
      </c>
      <c r="AA26" s="6" t="s">
        <v>368</v>
      </c>
      <c r="AB26" s="6" t="s">
        <v>368</v>
      </c>
      <c r="AC26" s="6" t="s">
        <v>368</v>
      </c>
      <c r="AD26" s="6" t="s">
        <v>368</v>
      </c>
      <c r="AE26" s="6" t="s">
        <v>368</v>
      </c>
      <c r="AF26" s="6">
        <f>16.3</f>
        <v>16.3</v>
      </c>
      <c r="AG26" s="6">
        <f>16.3</f>
        <v>16.3</v>
      </c>
      <c r="AU26" s="6"/>
      <c r="BH26" s="6"/>
    </row>
    <row r="27" spans="1:60" x14ac:dyDescent="0.3">
      <c r="A27" s="5">
        <v>104149</v>
      </c>
      <c r="B27" s="6" t="s">
        <v>212</v>
      </c>
      <c r="C27" s="6" t="s">
        <v>73</v>
      </c>
      <c r="D27" s="6" t="s">
        <v>239</v>
      </c>
      <c r="E27" s="6">
        <v>2</v>
      </c>
      <c r="F27" s="6" t="s">
        <v>109</v>
      </c>
      <c r="G27" s="14">
        <f>74.3/2.2</f>
        <v>33.772727272727266</v>
      </c>
      <c r="H27" s="6">
        <f>147.31</f>
        <v>147.31</v>
      </c>
      <c r="I27" s="6">
        <f>65.7</f>
        <v>65.7</v>
      </c>
      <c r="J27" s="6">
        <f t="shared" ref="J27" si="2">(H27*100)/I27</f>
        <v>224.21613394216132</v>
      </c>
      <c r="K27" s="6" t="s">
        <v>96</v>
      </c>
      <c r="L27" s="6">
        <v>2</v>
      </c>
      <c r="M27" s="6">
        <f>0</f>
        <v>0</v>
      </c>
      <c r="N27" s="6">
        <v>2</v>
      </c>
      <c r="O27" s="6">
        <f>0</f>
        <v>0</v>
      </c>
      <c r="P27" s="6">
        <v>9</v>
      </c>
      <c r="Q27" s="6">
        <f>0</f>
        <v>0</v>
      </c>
      <c r="R27" s="6">
        <v>9</v>
      </c>
      <c r="S27" s="6">
        <f>0</f>
        <v>0</v>
      </c>
      <c r="T27" s="6">
        <f>(6.61/2)</f>
        <v>3.3050000000000002</v>
      </c>
      <c r="U27" s="6">
        <f>(8.82/2)</f>
        <v>4.41</v>
      </c>
      <c r="W27" s="6">
        <f>(6.59/2)</f>
        <v>3.2949999999999999</v>
      </c>
      <c r="X27" s="6">
        <f>(8.54/2)</f>
        <v>4.2699999999999996</v>
      </c>
      <c r="Z27" s="6" t="s">
        <v>368</v>
      </c>
      <c r="AA27" s="6" t="s">
        <v>368</v>
      </c>
      <c r="AB27" s="6" t="s">
        <v>368</v>
      </c>
      <c r="AC27" s="6" t="s">
        <v>368</v>
      </c>
      <c r="AD27" s="6" t="s">
        <v>368</v>
      </c>
      <c r="AE27" s="6" t="s">
        <v>368</v>
      </c>
      <c r="AF27" s="6">
        <f>15</f>
        <v>15</v>
      </c>
      <c r="AG27" s="6">
        <f>17.7</f>
        <v>17.7</v>
      </c>
      <c r="AU27" s="6"/>
      <c r="BH27" s="6"/>
    </row>
    <row r="28" spans="1:60" x14ac:dyDescent="0.3">
      <c r="A28" s="5">
        <v>104148</v>
      </c>
      <c r="B28" s="6" t="s">
        <v>221</v>
      </c>
      <c r="C28" s="6" t="s">
        <v>82</v>
      </c>
      <c r="D28" s="6" t="s">
        <v>102</v>
      </c>
      <c r="E28" s="6">
        <v>7</v>
      </c>
      <c r="F28" s="6" t="s">
        <v>110</v>
      </c>
      <c r="G28" s="14">
        <f>9.16/2.2</f>
        <v>4.1636363636363631</v>
      </c>
      <c r="H28" s="6">
        <f>74.12</f>
        <v>74.12</v>
      </c>
      <c r="I28" s="6">
        <f>26.1</f>
        <v>26.1</v>
      </c>
      <c r="J28" s="6">
        <f>(H28*100)/I28</f>
        <v>283.9846743295019</v>
      </c>
      <c r="K28" s="6" t="s">
        <v>96</v>
      </c>
      <c r="L28" s="8" t="s">
        <v>338</v>
      </c>
      <c r="M28" s="6">
        <f>(2.83/4.84)</f>
        <v>0.58471074380165289</v>
      </c>
      <c r="N28" s="8" t="s">
        <v>338</v>
      </c>
      <c r="O28" s="6">
        <f>(2.42/4.84)</f>
        <v>0.5</v>
      </c>
      <c r="P28" s="12">
        <v>13</v>
      </c>
      <c r="Q28" s="6" t="s">
        <v>331</v>
      </c>
      <c r="R28" s="12">
        <v>13</v>
      </c>
      <c r="S28" s="6" t="s">
        <v>331</v>
      </c>
      <c r="T28" s="6">
        <f>(4.54/2)</f>
        <v>2.27</v>
      </c>
      <c r="U28" s="6">
        <f>(4.54/2)</f>
        <v>2.27</v>
      </c>
      <c r="W28" s="6">
        <f>(4.8/2)</f>
        <v>2.4</v>
      </c>
      <c r="X28" s="6">
        <f>(4.5/2)</f>
        <v>2.25</v>
      </c>
      <c r="Z28" s="6" t="s">
        <v>368</v>
      </c>
      <c r="AA28" s="6" t="s">
        <v>368</v>
      </c>
      <c r="AB28" s="6" t="s">
        <v>368</v>
      </c>
      <c r="AC28" s="6" t="s">
        <v>368</v>
      </c>
      <c r="AD28" s="6" t="s">
        <v>368</v>
      </c>
      <c r="AE28" s="6" t="s">
        <v>368</v>
      </c>
      <c r="AF28" s="6">
        <f>9.9</f>
        <v>9.9</v>
      </c>
      <c r="AG28" s="6">
        <f>9</f>
        <v>9</v>
      </c>
      <c r="AU28" s="6"/>
      <c r="BH28" s="6"/>
    </row>
    <row r="29" spans="1:60" x14ac:dyDescent="0.3">
      <c r="A29" s="5">
        <v>104406</v>
      </c>
      <c r="B29" s="6" t="s">
        <v>266</v>
      </c>
      <c r="C29" s="6" t="s">
        <v>267</v>
      </c>
      <c r="D29" s="6" t="s">
        <v>122</v>
      </c>
      <c r="E29" s="6">
        <v>9</v>
      </c>
      <c r="F29" s="6" t="s">
        <v>110</v>
      </c>
      <c r="G29" s="14">
        <f>16.2/2.2</f>
        <v>7.3636363636363624</v>
      </c>
      <c r="H29" s="6">
        <f>90</f>
        <v>90</v>
      </c>
      <c r="I29" s="6">
        <f>33</f>
        <v>33</v>
      </c>
      <c r="J29" s="6">
        <f>(H29*100)/I29</f>
        <v>272.72727272727275</v>
      </c>
      <c r="K29" s="6" t="s">
        <v>96</v>
      </c>
      <c r="L29" s="6" t="s">
        <v>373</v>
      </c>
      <c r="M29" s="6">
        <f>0</f>
        <v>0</v>
      </c>
      <c r="N29" s="6" t="s">
        <v>373</v>
      </c>
      <c r="O29" s="6">
        <f>0</f>
        <v>0</v>
      </c>
      <c r="P29" s="12">
        <v>13</v>
      </c>
      <c r="Q29" s="6" t="s">
        <v>331</v>
      </c>
      <c r="R29" s="12">
        <v>13</v>
      </c>
      <c r="S29" s="6" t="s">
        <v>331</v>
      </c>
      <c r="T29" s="6">
        <f>(6/2)</f>
        <v>3</v>
      </c>
      <c r="U29" s="6">
        <f>(8.41/2)</f>
        <v>4.2050000000000001</v>
      </c>
      <c r="W29" s="6">
        <f>(6.01/2)</f>
        <v>3.0049999999999999</v>
      </c>
      <c r="X29" s="6">
        <f>(8.1/2)</f>
        <v>4.05</v>
      </c>
      <c r="Z29" s="6" t="s">
        <v>368</v>
      </c>
      <c r="AA29" s="6" t="s">
        <v>368</v>
      </c>
      <c r="AB29" s="6" t="s">
        <v>368</v>
      </c>
      <c r="AC29" s="6" t="s">
        <v>368</v>
      </c>
      <c r="AD29" s="6" t="s">
        <v>368</v>
      </c>
      <c r="AE29" s="6" t="s">
        <v>368</v>
      </c>
      <c r="AF29" s="6">
        <f>10.8</f>
        <v>10.8</v>
      </c>
      <c r="AG29" s="6">
        <f>10.2</f>
        <v>10.199999999999999</v>
      </c>
      <c r="AU29" s="6"/>
      <c r="BH29" s="6"/>
    </row>
    <row r="30" spans="1:60" x14ac:dyDescent="0.3">
      <c r="A30" s="5">
        <v>2492</v>
      </c>
      <c r="B30" s="6" t="s">
        <v>222</v>
      </c>
      <c r="C30" s="6" t="s">
        <v>83</v>
      </c>
      <c r="D30" s="6" t="s">
        <v>122</v>
      </c>
      <c r="E30" s="6">
        <v>9</v>
      </c>
      <c r="F30" s="6" t="s">
        <v>97</v>
      </c>
      <c r="G30" s="14">
        <f>14.3/2.2</f>
        <v>6.5</v>
      </c>
      <c r="H30" s="6">
        <f>84.3</f>
        <v>84.3</v>
      </c>
      <c r="I30" s="6">
        <f>31.81</f>
        <v>31.81</v>
      </c>
      <c r="J30" s="6">
        <f>(H30*100)/I30</f>
        <v>265.01100282929895</v>
      </c>
      <c r="K30" s="6" t="s">
        <v>96</v>
      </c>
      <c r="L30" s="6" t="s">
        <v>374</v>
      </c>
      <c r="M30" s="6">
        <f>0</f>
        <v>0</v>
      </c>
      <c r="N30" s="6" t="s">
        <v>372</v>
      </c>
      <c r="O30" s="6">
        <f>0</f>
        <v>0</v>
      </c>
      <c r="P30" s="12">
        <v>13</v>
      </c>
      <c r="Q30" s="6" t="s">
        <v>331</v>
      </c>
      <c r="R30" s="12">
        <v>13</v>
      </c>
      <c r="S30" s="6" t="s">
        <v>331</v>
      </c>
      <c r="T30" s="6">
        <f>(5.03/2)</f>
        <v>2.5150000000000001</v>
      </c>
      <c r="U30" s="6">
        <f>(6.91/2)</f>
        <v>3.4550000000000001</v>
      </c>
      <c r="W30" s="6">
        <f>(5.24/2)</f>
        <v>2.62</v>
      </c>
      <c r="X30" s="6">
        <f>(7.52/2)</f>
        <v>3.76</v>
      </c>
      <c r="Z30" s="6" t="s">
        <v>368</v>
      </c>
      <c r="AA30" s="6" t="s">
        <v>368</v>
      </c>
      <c r="AB30" s="6" t="s">
        <v>368</v>
      </c>
      <c r="AC30" s="6" t="s">
        <v>368</v>
      </c>
      <c r="AD30" s="6" t="s">
        <v>368</v>
      </c>
      <c r="AE30" s="6" t="s">
        <v>368</v>
      </c>
      <c r="AF30" s="6">
        <f>9.9</f>
        <v>9.9</v>
      </c>
      <c r="AG30" s="6">
        <f>9.9</f>
        <v>9.9</v>
      </c>
      <c r="AU30" s="6"/>
      <c r="BH30" s="6"/>
    </row>
    <row r="31" spans="1:60" x14ac:dyDescent="0.3">
      <c r="A31" s="5">
        <v>3148</v>
      </c>
      <c r="B31" s="6" t="s">
        <v>225</v>
      </c>
      <c r="C31" s="6" t="s">
        <v>85</v>
      </c>
      <c r="D31" s="6" t="s">
        <v>120</v>
      </c>
      <c r="E31" s="6">
        <v>8</v>
      </c>
      <c r="F31" s="6" t="s">
        <v>110</v>
      </c>
      <c r="G31" s="14">
        <f>13.99/2.2</f>
        <v>6.3590909090909085</v>
      </c>
      <c r="H31" s="6">
        <f>74.7</f>
        <v>74.7</v>
      </c>
      <c r="I31" s="6">
        <f>44.4</f>
        <v>44.4</v>
      </c>
      <c r="J31" s="6">
        <f t="shared" ref="J31" si="3">(H31*100)/I31</f>
        <v>168.24324324324326</v>
      </c>
      <c r="K31" s="6" t="s">
        <v>96</v>
      </c>
      <c r="L31" s="8" t="s">
        <v>338</v>
      </c>
      <c r="M31" s="6">
        <f>(1.82/3.65)</f>
        <v>0.49863013698630138</v>
      </c>
      <c r="N31" s="8" t="s">
        <v>338</v>
      </c>
      <c r="O31" s="6">
        <f>(0.95/2.56)</f>
        <v>0.37109375</v>
      </c>
      <c r="P31" s="12">
        <v>13</v>
      </c>
      <c r="Q31" s="6" t="s">
        <v>331</v>
      </c>
      <c r="R31" s="12">
        <v>13</v>
      </c>
      <c r="S31" s="6" t="s">
        <v>331</v>
      </c>
      <c r="T31" s="6">
        <f>(2.83/2)</f>
        <v>1.415</v>
      </c>
      <c r="U31" s="6">
        <f>(3.79/2)</f>
        <v>1.895</v>
      </c>
      <c r="W31" s="6">
        <f>(2.77/2)</f>
        <v>1.385</v>
      </c>
      <c r="X31" s="6">
        <f>(4.08/2)</f>
        <v>2.04</v>
      </c>
      <c r="Z31" s="6" t="s">
        <v>368</v>
      </c>
      <c r="AA31" s="6" t="s">
        <v>368</v>
      </c>
      <c r="AB31" s="6" t="s">
        <v>368</v>
      </c>
      <c r="AC31" s="6" t="s">
        <v>368</v>
      </c>
      <c r="AD31" s="6" t="s">
        <v>368</v>
      </c>
      <c r="AE31" s="6" t="s">
        <v>368</v>
      </c>
      <c r="AF31" s="6">
        <f>8.7</f>
        <v>8.6999999999999993</v>
      </c>
      <c r="AG31" s="6">
        <v>8.1</v>
      </c>
      <c r="AU31" s="6"/>
      <c r="BH31" s="6"/>
    </row>
    <row r="32" spans="1:60" x14ac:dyDescent="0.3">
      <c r="A32" s="5">
        <v>103930</v>
      </c>
      <c r="B32" s="6" t="s">
        <v>169</v>
      </c>
      <c r="C32" s="6" t="s">
        <v>91</v>
      </c>
      <c r="D32" s="6" t="s">
        <v>170</v>
      </c>
      <c r="E32" s="6">
        <v>7</v>
      </c>
      <c r="F32" s="6" t="s">
        <v>109</v>
      </c>
      <c r="G32" s="14">
        <f>49.94/2.2</f>
        <v>22.699999999999996</v>
      </c>
      <c r="H32" s="6">
        <f>129</f>
        <v>129</v>
      </c>
      <c r="I32" s="6">
        <f>75</f>
        <v>75</v>
      </c>
      <c r="J32" s="6">
        <f>(H32*100)/I32</f>
        <v>172</v>
      </c>
      <c r="K32" s="6" t="s">
        <v>96</v>
      </c>
      <c r="L32" s="6" t="s">
        <v>369</v>
      </c>
      <c r="M32" s="6">
        <f>0</f>
        <v>0</v>
      </c>
      <c r="N32" s="6">
        <v>2</v>
      </c>
      <c r="O32" s="6">
        <f>0</f>
        <v>0</v>
      </c>
      <c r="P32" s="6">
        <v>9</v>
      </c>
      <c r="Q32" s="6">
        <f>0</f>
        <v>0</v>
      </c>
      <c r="R32" s="6">
        <v>9</v>
      </c>
      <c r="S32" s="6">
        <f>0</f>
        <v>0</v>
      </c>
      <c r="T32" s="6">
        <f>(4.3/2)</f>
        <v>2.15</v>
      </c>
      <c r="U32" s="6">
        <f>(6.01/2)</f>
        <v>3.0049999999999999</v>
      </c>
      <c r="W32" s="6">
        <f>(4.5/2)</f>
        <v>2.25</v>
      </c>
      <c r="X32" s="6">
        <f>(6.01/2)</f>
        <v>3.0049999999999999</v>
      </c>
      <c r="Z32" s="6" t="s">
        <v>368</v>
      </c>
      <c r="AA32" s="6" t="s">
        <v>368</v>
      </c>
      <c r="AB32" s="6" t="s">
        <v>368</v>
      </c>
      <c r="AC32" s="6" t="s">
        <v>368</v>
      </c>
      <c r="AD32" s="6" t="s">
        <v>368</v>
      </c>
      <c r="AE32" s="6" t="s">
        <v>368</v>
      </c>
      <c r="AF32" s="6">
        <f>17.9</f>
        <v>17.899999999999999</v>
      </c>
      <c r="AG32" s="6">
        <f>18</f>
        <v>18</v>
      </c>
      <c r="AU32" s="6"/>
      <c r="BH32" s="6"/>
    </row>
    <row r="33" spans="1:60" x14ac:dyDescent="0.3">
      <c r="A33" s="5">
        <v>104232</v>
      </c>
      <c r="B33" s="6" t="s">
        <v>227</v>
      </c>
      <c r="C33" s="6" t="s">
        <v>86</v>
      </c>
      <c r="D33" s="6" t="s">
        <v>120</v>
      </c>
      <c r="E33" s="6">
        <v>11</v>
      </c>
      <c r="F33" s="6" t="s">
        <v>109</v>
      </c>
      <c r="G33" s="14">
        <f>10.25/2.2</f>
        <v>4.6590909090909083</v>
      </c>
      <c r="H33" s="6">
        <f>67.51</f>
        <v>67.510000000000005</v>
      </c>
      <c r="I33" s="6">
        <f>39.3</f>
        <v>39.299999999999997</v>
      </c>
      <c r="J33" s="6">
        <f t="shared" ref="J33:J41" si="4">(H33*100)/I33</f>
        <v>171.78117048346058</v>
      </c>
      <c r="K33" s="6" t="s">
        <v>96</v>
      </c>
      <c r="L33" s="8" t="s">
        <v>338</v>
      </c>
      <c r="M33" s="6">
        <f>(2.16/3.5)</f>
        <v>0.61714285714285722</v>
      </c>
      <c r="N33" s="8" t="s">
        <v>338</v>
      </c>
      <c r="O33" s="6">
        <f>(1.62/2.68)</f>
        <v>0.60447761194029848</v>
      </c>
      <c r="P33" s="12">
        <v>13</v>
      </c>
      <c r="Q33" s="6" t="s">
        <v>331</v>
      </c>
      <c r="R33" s="12">
        <v>13</v>
      </c>
      <c r="S33" s="6" t="s">
        <v>331</v>
      </c>
      <c r="T33" s="6">
        <f>(3.3/2)</f>
        <v>1.65</v>
      </c>
      <c r="U33" s="6">
        <f>(4.2/2)</f>
        <v>2.1</v>
      </c>
      <c r="W33" s="6">
        <f>(3.3/2)</f>
        <v>1.65</v>
      </c>
      <c r="X33" s="6">
        <f>(4.8/2)</f>
        <v>2.4</v>
      </c>
      <c r="Z33" s="6" t="s">
        <v>368</v>
      </c>
      <c r="AA33" s="6" t="s">
        <v>368</v>
      </c>
      <c r="AB33" s="6" t="s">
        <v>368</v>
      </c>
      <c r="AC33" s="6" t="s">
        <v>368</v>
      </c>
      <c r="AD33" s="6" t="s">
        <v>368</v>
      </c>
      <c r="AE33" s="6" t="s">
        <v>368</v>
      </c>
      <c r="AF33" s="6">
        <f>9</f>
        <v>9</v>
      </c>
      <c r="AG33" s="6">
        <f>8.7</f>
        <v>8.6999999999999993</v>
      </c>
      <c r="AU33" s="6"/>
      <c r="BH33" s="6"/>
    </row>
    <row r="34" spans="1:60" x14ac:dyDescent="0.3">
      <c r="A34" s="5">
        <v>104234</v>
      </c>
      <c r="B34" s="6" t="s">
        <v>228</v>
      </c>
      <c r="C34" s="6" t="s">
        <v>87</v>
      </c>
      <c r="D34" s="6" t="s">
        <v>120</v>
      </c>
      <c r="E34" s="6">
        <v>12</v>
      </c>
      <c r="F34" s="6" t="s">
        <v>110</v>
      </c>
      <c r="G34" s="14">
        <f>5.24/2.2</f>
        <v>2.3818181818181818</v>
      </c>
      <c r="H34" s="6">
        <f>59.41</f>
        <v>59.41</v>
      </c>
      <c r="I34" s="6">
        <f>29.4</f>
        <v>29.4</v>
      </c>
      <c r="J34" s="6">
        <f t="shared" si="4"/>
        <v>202.0748299319728</v>
      </c>
      <c r="K34" s="6" t="s">
        <v>96</v>
      </c>
      <c r="L34" s="12">
        <v>13</v>
      </c>
      <c r="M34" s="6" t="s">
        <v>331</v>
      </c>
      <c r="N34" s="12">
        <v>13</v>
      </c>
      <c r="O34" s="6" t="s">
        <v>331</v>
      </c>
      <c r="P34" s="12">
        <v>13</v>
      </c>
      <c r="Q34" s="6" t="s">
        <v>331</v>
      </c>
      <c r="R34" s="12">
        <v>13</v>
      </c>
      <c r="S34" s="6" t="s">
        <v>331</v>
      </c>
      <c r="T34" s="6" t="s">
        <v>368</v>
      </c>
      <c r="U34" s="6" t="s">
        <v>368</v>
      </c>
      <c r="V34" s="6" t="s">
        <v>368</v>
      </c>
      <c r="W34" s="6" t="s">
        <v>368</v>
      </c>
      <c r="X34" s="6" t="s">
        <v>368</v>
      </c>
      <c r="Y34" s="6" t="s">
        <v>368</v>
      </c>
      <c r="Z34" s="6" t="s">
        <v>368</v>
      </c>
      <c r="AA34" s="6" t="s">
        <v>368</v>
      </c>
      <c r="AB34" s="6" t="s">
        <v>368</v>
      </c>
      <c r="AC34" s="6" t="s">
        <v>368</v>
      </c>
      <c r="AD34" s="6" t="s">
        <v>368</v>
      </c>
      <c r="AE34" s="6" t="s">
        <v>368</v>
      </c>
      <c r="AF34" s="6">
        <f>5.4</f>
        <v>5.4</v>
      </c>
      <c r="AG34" s="6">
        <f>6.3</f>
        <v>6.3</v>
      </c>
      <c r="AU34" s="6"/>
      <c r="BH34" s="6"/>
    </row>
    <row r="35" spans="1:60" x14ac:dyDescent="0.3">
      <c r="A35" s="5">
        <v>104131</v>
      </c>
      <c r="B35" s="6" t="s">
        <v>229</v>
      </c>
      <c r="C35" s="6" t="s">
        <v>88</v>
      </c>
      <c r="D35" s="6" t="s">
        <v>242</v>
      </c>
      <c r="E35" s="6">
        <v>5</v>
      </c>
      <c r="F35" s="6" t="s">
        <v>110</v>
      </c>
      <c r="G35" s="14">
        <f>60.66/2.2</f>
        <v>27.572727272727271</v>
      </c>
      <c r="H35" s="6">
        <f>124.5</f>
        <v>124.5</v>
      </c>
      <c r="I35" s="6">
        <f>73.82</f>
        <v>73.819999999999993</v>
      </c>
      <c r="J35" s="6">
        <f t="shared" si="4"/>
        <v>168.65348144134381</v>
      </c>
      <c r="K35" s="6" t="s">
        <v>96</v>
      </c>
      <c r="L35" s="6">
        <v>2</v>
      </c>
      <c r="M35" s="6">
        <f>0</f>
        <v>0</v>
      </c>
      <c r="N35" s="6">
        <v>2</v>
      </c>
      <c r="O35" s="6">
        <f>0</f>
        <v>0</v>
      </c>
      <c r="P35" s="6">
        <v>9</v>
      </c>
      <c r="Q35" s="6">
        <f>0</f>
        <v>0</v>
      </c>
      <c r="R35" s="6">
        <v>9</v>
      </c>
      <c r="S35" s="6">
        <f>0</f>
        <v>0</v>
      </c>
      <c r="T35" s="6">
        <f>(4.8/2)</f>
        <v>2.4</v>
      </c>
      <c r="U35" s="6">
        <f>(7.21/2)</f>
        <v>3.605</v>
      </c>
      <c r="W35" s="6">
        <f>(5.73/2)</f>
        <v>2.8650000000000002</v>
      </c>
      <c r="X35" s="6">
        <f>(6.91/2)</f>
        <v>3.4550000000000001</v>
      </c>
      <c r="Z35" s="6">
        <f>(4.74/2)</f>
        <v>2.37</v>
      </c>
      <c r="AA35" s="6">
        <f>(9.34/2)</f>
        <v>4.67</v>
      </c>
      <c r="AC35" s="6">
        <f>(5.1/2)</f>
        <v>2.5499999999999998</v>
      </c>
      <c r="AD35" s="6">
        <f>(11.24/2)</f>
        <v>5.62</v>
      </c>
      <c r="AF35" s="6">
        <f>19.5</f>
        <v>19.5</v>
      </c>
      <c r="AG35" s="6">
        <f>16.8</f>
        <v>16.8</v>
      </c>
      <c r="AU35" s="6"/>
      <c r="BH35" s="6"/>
    </row>
    <row r="36" spans="1:60" x14ac:dyDescent="0.3">
      <c r="A36" s="5">
        <v>1187</v>
      </c>
      <c r="B36" s="6" t="s">
        <v>230</v>
      </c>
      <c r="C36" s="6" t="s">
        <v>89</v>
      </c>
      <c r="D36" s="6" t="s">
        <v>248</v>
      </c>
      <c r="E36" s="6">
        <v>7</v>
      </c>
      <c r="F36" s="6" t="s">
        <v>110</v>
      </c>
      <c r="G36" s="14">
        <f>49.82/2.2</f>
        <v>22.645454545454545</v>
      </c>
      <c r="H36" s="6">
        <f>107.4</f>
        <v>107.4</v>
      </c>
      <c r="I36" s="6">
        <f>66.6</f>
        <v>66.599999999999994</v>
      </c>
      <c r="J36" s="6">
        <f t="shared" si="4"/>
        <v>161.26126126126127</v>
      </c>
      <c r="K36" s="6" t="s">
        <v>96</v>
      </c>
      <c r="L36" s="6" t="s">
        <v>369</v>
      </c>
      <c r="M36" s="6">
        <f>0</f>
        <v>0</v>
      </c>
      <c r="N36" s="6">
        <v>2</v>
      </c>
      <c r="O36" s="6">
        <f>0</f>
        <v>0</v>
      </c>
      <c r="P36" s="6">
        <v>9</v>
      </c>
      <c r="Q36" s="6">
        <f>0</f>
        <v>0</v>
      </c>
      <c r="R36" s="6">
        <v>9</v>
      </c>
      <c r="S36" s="6">
        <f>0</f>
        <v>0</v>
      </c>
      <c r="T36" s="6">
        <f>(4.2/2)</f>
        <v>2.1</v>
      </c>
      <c r="U36" s="6">
        <f>(8.4/2)</f>
        <v>4.2</v>
      </c>
      <c r="W36" s="6">
        <f>(4.3/2)</f>
        <v>2.15</v>
      </c>
      <c r="X36" s="6">
        <f>(8.71/2)</f>
        <v>4.3550000000000004</v>
      </c>
      <c r="Z36" s="6" t="s">
        <v>368</v>
      </c>
      <c r="AA36" s="6" t="s">
        <v>368</v>
      </c>
      <c r="AB36" s="6" t="s">
        <v>368</v>
      </c>
      <c r="AC36" s="6" t="s">
        <v>368</v>
      </c>
      <c r="AD36" s="6" t="s">
        <v>368</v>
      </c>
      <c r="AE36" s="6" t="s">
        <v>368</v>
      </c>
      <c r="AF36" s="6">
        <f>14.4</f>
        <v>14.4</v>
      </c>
      <c r="AG36" s="6">
        <f>14.4</f>
        <v>14.4</v>
      </c>
      <c r="AU36" s="6"/>
      <c r="BH36" s="6"/>
    </row>
    <row r="37" spans="1:60" x14ac:dyDescent="0.3">
      <c r="A37" s="5">
        <v>104268</v>
      </c>
      <c r="B37" s="6" t="s">
        <v>174</v>
      </c>
      <c r="C37" s="6" t="s">
        <v>55</v>
      </c>
      <c r="D37" s="6" t="s">
        <v>120</v>
      </c>
      <c r="E37" s="6">
        <v>12</v>
      </c>
      <c r="F37" s="6" t="s">
        <v>110</v>
      </c>
      <c r="G37" s="14">
        <f>4.56/2.2</f>
        <v>2.0727272727272723</v>
      </c>
      <c r="H37" s="6">
        <f>64.82</f>
        <v>64.819999999999993</v>
      </c>
      <c r="I37" s="6">
        <f>35.1</f>
        <v>35.1</v>
      </c>
      <c r="J37" s="6">
        <f t="shared" si="4"/>
        <v>184.67236467236464</v>
      </c>
      <c r="K37" s="6" t="s">
        <v>96</v>
      </c>
      <c r="L37" s="8" t="s">
        <v>338</v>
      </c>
      <c r="M37" s="6">
        <f>(0.67/2.77)</f>
        <v>0.24187725631768955</v>
      </c>
      <c r="N37" s="8" t="s">
        <v>338</v>
      </c>
      <c r="O37" s="6">
        <f>(1.24/2.56)</f>
        <v>0.484375</v>
      </c>
      <c r="P37" s="12">
        <v>13</v>
      </c>
      <c r="Q37" s="6" t="s">
        <v>331</v>
      </c>
      <c r="R37" s="12">
        <v>13</v>
      </c>
      <c r="S37" s="6" t="s">
        <v>331</v>
      </c>
      <c r="T37" s="6">
        <f>(3.06/2)</f>
        <v>1.53</v>
      </c>
      <c r="U37" s="6">
        <f>(2.72/2)</f>
        <v>1.36</v>
      </c>
      <c r="W37" s="6">
        <f>(3.35/2)</f>
        <v>1.675</v>
      </c>
      <c r="X37" s="6">
        <f>(2.47)</f>
        <v>2.4700000000000002</v>
      </c>
      <c r="Z37" s="6" t="s">
        <v>368</v>
      </c>
      <c r="AA37" s="6" t="s">
        <v>368</v>
      </c>
      <c r="AB37" s="6" t="s">
        <v>368</v>
      </c>
      <c r="AC37" s="6" t="s">
        <v>368</v>
      </c>
      <c r="AD37" s="6" t="s">
        <v>368</v>
      </c>
      <c r="AE37" s="6" t="s">
        <v>368</v>
      </c>
      <c r="AF37" s="6">
        <f>8.3</f>
        <v>8.3000000000000007</v>
      </c>
      <c r="AG37" s="6">
        <f>8.4</f>
        <v>8.4</v>
      </c>
      <c r="AU37" s="6"/>
      <c r="BH37" s="6"/>
    </row>
    <row r="38" spans="1:60" x14ac:dyDescent="0.3">
      <c r="A38" s="5">
        <v>104104</v>
      </c>
      <c r="B38" s="6" t="s">
        <v>179</v>
      </c>
      <c r="C38" s="6" t="s">
        <v>22</v>
      </c>
      <c r="D38" s="6" t="s">
        <v>120</v>
      </c>
      <c r="E38" s="6">
        <v>10</v>
      </c>
      <c r="F38" s="6" t="s">
        <v>110</v>
      </c>
      <c r="G38" s="14">
        <f>8.9/2.2</f>
        <v>4.045454545454545</v>
      </c>
      <c r="H38" s="6">
        <f>67.2</f>
        <v>67.2</v>
      </c>
      <c r="I38" s="6">
        <f>33.3</f>
        <v>33.299999999999997</v>
      </c>
      <c r="J38" s="6">
        <f t="shared" si="4"/>
        <v>201.80180180180182</v>
      </c>
      <c r="K38" s="6" t="s">
        <v>96</v>
      </c>
      <c r="L38" s="8" t="s">
        <v>338</v>
      </c>
      <c r="M38" s="6">
        <f>(1.5/3.42)</f>
        <v>0.43859649122807021</v>
      </c>
      <c r="N38" s="8" t="s">
        <v>338</v>
      </c>
      <c r="O38" s="6">
        <f>(1.5/3.66)</f>
        <v>0.4098360655737705</v>
      </c>
      <c r="P38" s="12">
        <v>13</v>
      </c>
      <c r="Q38" s="6" t="s">
        <v>331</v>
      </c>
      <c r="R38" s="12">
        <v>13</v>
      </c>
      <c r="S38" s="6" t="s">
        <v>331</v>
      </c>
      <c r="T38" s="6">
        <f>(3.01/2)</f>
        <v>1.5049999999999999</v>
      </c>
      <c r="U38" s="6">
        <f>(3.61/2)</f>
        <v>1.8049999999999999</v>
      </c>
      <c r="W38" s="6">
        <f>(3.06/2)</f>
        <v>1.53</v>
      </c>
      <c r="X38" s="6">
        <f>(3.9/2)</f>
        <v>1.95</v>
      </c>
      <c r="Z38" s="6" t="s">
        <v>368</v>
      </c>
      <c r="AA38" s="6" t="s">
        <v>368</v>
      </c>
      <c r="AB38" s="6" t="s">
        <v>368</v>
      </c>
      <c r="AC38" s="6" t="s">
        <v>368</v>
      </c>
      <c r="AD38" s="6" t="s">
        <v>368</v>
      </c>
      <c r="AE38" s="6" t="s">
        <v>368</v>
      </c>
      <c r="AF38" s="6">
        <f>7.5</f>
        <v>7.5</v>
      </c>
      <c r="AG38" s="6">
        <f>8.1</f>
        <v>8.1</v>
      </c>
      <c r="AU38" s="6"/>
      <c r="BH38" s="6"/>
    </row>
    <row r="39" spans="1:60" x14ac:dyDescent="0.3">
      <c r="A39" s="5">
        <v>104297</v>
      </c>
      <c r="B39" s="6" t="s">
        <v>176</v>
      </c>
      <c r="C39" s="6" t="s">
        <v>21</v>
      </c>
      <c r="D39" s="6" t="s">
        <v>166</v>
      </c>
      <c r="E39" s="6">
        <v>2</v>
      </c>
      <c r="F39" s="6" t="s">
        <v>95</v>
      </c>
      <c r="G39" s="14">
        <f>27.1/2.2</f>
        <v>12.318181818181818</v>
      </c>
      <c r="H39" s="6">
        <f>104</f>
        <v>104</v>
      </c>
      <c r="I39" s="6">
        <f>33.91</f>
        <v>33.909999999999997</v>
      </c>
      <c r="J39" s="6">
        <f t="shared" si="4"/>
        <v>306.69419050427604</v>
      </c>
      <c r="K39" s="6" t="s">
        <v>96</v>
      </c>
      <c r="L39" s="6" t="s">
        <v>369</v>
      </c>
      <c r="M39" s="6">
        <f>0</f>
        <v>0</v>
      </c>
      <c r="N39" s="6">
        <v>2</v>
      </c>
      <c r="O39" s="6">
        <f>0</f>
        <v>0</v>
      </c>
      <c r="P39" s="12">
        <v>13</v>
      </c>
      <c r="Q39" s="6" t="s">
        <v>331</v>
      </c>
      <c r="R39" s="12">
        <v>13</v>
      </c>
      <c r="S39" s="6" t="s">
        <v>331</v>
      </c>
      <c r="T39" s="6">
        <f>(5.6/2)</f>
        <v>2.8</v>
      </c>
      <c r="U39" s="6">
        <f>(7.06/2)</f>
        <v>3.53</v>
      </c>
      <c r="W39" s="6">
        <f>(4.95/2)</f>
        <v>2.4750000000000001</v>
      </c>
      <c r="X39" s="6">
        <f>(8.24/2)</f>
        <v>4.12</v>
      </c>
      <c r="Z39" s="6" t="s">
        <v>368</v>
      </c>
      <c r="AA39" s="6" t="s">
        <v>368</v>
      </c>
      <c r="AB39" s="6" t="s">
        <v>368</v>
      </c>
      <c r="AC39" s="6" t="s">
        <v>368</v>
      </c>
      <c r="AD39" s="6" t="s">
        <v>368</v>
      </c>
      <c r="AE39" s="6" t="s">
        <v>368</v>
      </c>
      <c r="AF39" s="6">
        <f>11.1</f>
        <v>11.1</v>
      </c>
      <c r="AG39" s="6">
        <f>10.5</f>
        <v>10.5</v>
      </c>
      <c r="AU39" s="6"/>
      <c r="BH39" s="6"/>
    </row>
    <row r="40" spans="1:60" x14ac:dyDescent="0.3">
      <c r="A40" s="5">
        <v>104301</v>
      </c>
      <c r="B40" s="6" t="s">
        <v>167</v>
      </c>
      <c r="C40" s="6" t="s">
        <v>87</v>
      </c>
      <c r="D40" s="6" t="s">
        <v>120</v>
      </c>
      <c r="E40" s="6">
        <v>8</v>
      </c>
      <c r="F40" s="6" t="s">
        <v>110</v>
      </c>
      <c r="G40" s="14">
        <f>6.59/2.2</f>
        <v>2.9954545454545451</v>
      </c>
      <c r="H40" s="6">
        <f>66.61</f>
        <v>66.61</v>
      </c>
      <c r="I40" s="6">
        <f>36.6</f>
        <v>36.6</v>
      </c>
      <c r="J40" s="6">
        <f t="shared" si="4"/>
        <v>181.99453551912566</v>
      </c>
      <c r="K40" s="6" t="s">
        <v>96</v>
      </c>
      <c r="L40" s="8" t="s">
        <v>338</v>
      </c>
      <c r="M40" s="6">
        <f>(1.34/3.42)</f>
        <v>0.39181286549707606</v>
      </c>
      <c r="N40" s="8" t="s">
        <v>338</v>
      </c>
      <c r="O40" s="6">
        <f>(1.62/3.23)</f>
        <v>0.50154798761609909</v>
      </c>
      <c r="P40" s="12">
        <v>13</v>
      </c>
      <c r="Q40" s="6" t="s">
        <v>331</v>
      </c>
      <c r="R40" s="12">
        <v>13</v>
      </c>
      <c r="S40" s="6" t="s">
        <v>331</v>
      </c>
      <c r="T40" s="6">
        <f>(2.1/2)</f>
        <v>1.05</v>
      </c>
      <c r="U40" s="6">
        <f>(3.3/2)</f>
        <v>1.65</v>
      </c>
      <c r="W40" s="6">
        <f>(2.28/2)</f>
        <v>1.1399999999999999</v>
      </c>
      <c r="X40" s="6">
        <f>(3.9/2)</f>
        <v>1.95</v>
      </c>
      <c r="Z40" s="6" t="s">
        <v>368</v>
      </c>
      <c r="AA40" s="6" t="s">
        <v>368</v>
      </c>
      <c r="AB40" s="6" t="s">
        <v>368</v>
      </c>
      <c r="AC40" s="6" t="s">
        <v>368</v>
      </c>
      <c r="AD40" s="6" t="s">
        <v>368</v>
      </c>
      <c r="AE40" s="6" t="s">
        <v>368</v>
      </c>
      <c r="AF40" s="7">
        <f>8.1</f>
        <v>8.1</v>
      </c>
      <c r="AG40" s="6">
        <f>8.1</f>
        <v>8.1</v>
      </c>
      <c r="AU40" s="6"/>
      <c r="BH40" s="6"/>
    </row>
    <row r="41" spans="1:60" ht="13.5" customHeight="1" x14ac:dyDescent="0.3">
      <c r="A41" s="5">
        <v>104325</v>
      </c>
      <c r="B41" s="6" t="s">
        <v>250</v>
      </c>
      <c r="C41" s="6" t="s">
        <v>21</v>
      </c>
      <c r="D41" s="6" t="s">
        <v>125</v>
      </c>
      <c r="E41" s="6">
        <v>2</v>
      </c>
      <c r="F41" s="6" t="s">
        <v>109</v>
      </c>
      <c r="G41" s="14">
        <f>20.7/2.2</f>
        <v>9.4090909090909083</v>
      </c>
      <c r="H41" s="6">
        <f>86.11</f>
        <v>86.11</v>
      </c>
      <c r="I41" s="6">
        <f>38.7</f>
        <v>38.700000000000003</v>
      </c>
      <c r="J41" s="6">
        <f t="shared" si="4"/>
        <v>222.50645994832038</v>
      </c>
      <c r="K41" s="6" t="s">
        <v>96</v>
      </c>
      <c r="L41" s="8" t="s">
        <v>338</v>
      </c>
      <c r="M41" s="6">
        <f>(1.27/5.1)</f>
        <v>0.24901960784313729</v>
      </c>
      <c r="N41" s="8" t="s">
        <v>338</v>
      </c>
      <c r="O41" s="6">
        <f>(0.95/5.53)</f>
        <v>0.17179023508137431</v>
      </c>
      <c r="P41" s="12">
        <v>13</v>
      </c>
      <c r="Q41" s="6" t="s">
        <v>331</v>
      </c>
      <c r="R41" s="12">
        <v>13</v>
      </c>
      <c r="S41" s="6" t="s">
        <v>331</v>
      </c>
      <c r="T41" s="6">
        <f>(5.1/2)</f>
        <v>2.5499999999999998</v>
      </c>
      <c r="U41" s="6">
        <f>(5.4/2)</f>
        <v>2.7</v>
      </c>
      <c r="W41" s="6">
        <f>(5.1/2)</f>
        <v>2.5499999999999998</v>
      </c>
      <c r="X41" s="6">
        <f>(5.7/2)</f>
        <v>2.85</v>
      </c>
      <c r="Z41" s="6" t="s">
        <v>368</v>
      </c>
      <c r="AA41" s="6" t="s">
        <v>368</v>
      </c>
      <c r="AB41" s="6" t="s">
        <v>368</v>
      </c>
      <c r="AC41" s="6" t="s">
        <v>368</v>
      </c>
      <c r="AD41" s="6" t="s">
        <v>368</v>
      </c>
      <c r="AE41" s="6" t="s">
        <v>368</v>
      </c>
      <c r="AF41" s="6">
        <f>12.6</f>
        <v>12.6</v>
      </c>
      <c r="AG41" s="6">
        <f>11.4</f>
        <v>11.4</v>
      </c>
      <c r="AU41" s="6"/>
      <c r="BH41" s="6"/>
    </row>
    <row r="42" spans="1:60" x14ac:dyDescent="0.3">
      <c r="B42" s="6" t="s">
        <v>321</v>
      </c>
    </row>
  </sheetData>
  <phoneticPr fontId="3" type="noConversion"/>
  <pageMargins left="0.7" right="0.7" top="0.75" bottom="0.75" header="0.3" footer="0.3"/>
  <pageSetup orientation="portrait" horizontalDpi="4294967295" verticalDpi="4294967295" r:id="rId1"/>
  <ignoredErrors>
    <ignoredError sqref="M3 O3 AF29 M33 M31 M28 M25 O25 O28 O31 O33 Q21 S21 M13 M15 M20 O13 O15 O20 AG39 X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981C-4CE4-4E45-AB23-BD13BF15CABC}">
  <dimension ref="A1:BH45"/>
  <sheetViews>
    <sheetView topLeftCell="G13" workbookViewId="0">
      <selection activeCell="S43" sqref="S43"/>
    </sheetView>
  </sheetViews>
  <sheetFormatPr defaultColWidth="8.77734375" defaultRowHeight="14.4" x14ac:dyDescent="0.3"/>
  <cols>
    <col min="1" max="1" width="9" style="5" customWidth="1"/>
    <col min="2" max="2" width="16.33203125" style="6" customWidth="1"/>
    <col min="3" max="3" width="13.44140625" style="6" customWidth="1"/>
    <col min="4" max="4" width="19.77734375" style="6" customWidth="1"/>
    <col min="5" max="5" width="9.77734375" style="6" customWidth="1"/>
    <col min="6" max="6" width="8.77734375" style="6"/>
    <col min="7" max="7" width="14.77734375" style="6" customWidth="1"/>
    <col min="8" max="8" width="15.44140625" style="6" customWidth="1"/>
    <col min="9" max="9" width="16.44140625" style="6" customWidth="1"/>
    <col min="10" max="10" width="13.44140625" style="6" customWidth="1"/>
    <col min="11" max="11" width="9" style="6" customWidth="1"/>
    <col min="12" max="15" width="13.88671875" style="6" customWidth="1"/>
    <col min="16" max="16" width="11.44140625" style="6" customWidth="1"/>
    <col min="17" max="17" width="13.5546875" style="6" customWidth="1"/>
    <col min="18" max="18" width="14.109375" style="6" customWidth="1"/>
    <col min="19" max="19" width="13.5546875" style="6" customWidth="1"/>
    <col min="20" max="20" width="22.5546875" style="6" customWidth="1"/>
    <col min="21" max="21" width="14.109375" style="6" customWidth="1"/>
    <col min="22" max="22" width="15.21875" style="6" customWidth="1"/>
    <col min="23" max="23" width="16.5546875" style="6" customWidth="1"/>
    <col min="24" max="24" width="13.88671875" style="6" customWidth="1"/>
    <col min="25" max="25" width="22.21875" style="6" customWidth="1"/>
    <col min="26" max="26" width="11.21875" style="6" customWidth="1"/>
    <col min="27" max="27" width="14.109375" style="6" customWidth="1"/>
    <col min="28" max="28" width="17.109375" style="6" customWidth="1"/>
    <col min="29" max="29" width="12" style="6" customWidth="1"/>
    <col min="30" max="30" width="23.5546875" style="6" customWidth="1"/>
    <col min="31" max="31" width="18.88671875" style="6" customWidth="1"/>
    <col min="32" max="32" width="17.88671875" style="6" customWidth="1"/>
    <col min="33" max="33" width="15.5546875" style="6" customWidth="1"/>
    <col min="34" max="34" width="14.5546875" style="18" customWidth="1"/>
    <col min="35" max="35" width="9" style="6" customWidth="1"/>
    <col min="36" max="36" width="15.109375" style="6" customWidth="1"/>
    <col min="37" max="37" width="6.77734375" style="6" customWidth="1"/>
    <col min="38" max="38" width="13.21875" style="6" customWidth="1"/>
    <col min="39" max="39" width="8.6640625" style="6" customWidth="1"/>
    <col min="40" max="40" width="14.109375" style="6" customWidth="1"/>
    <col min="41" max="41" width="8.77734375" style="6"/>
    <col min="42" max="42" width="14.21875" style="6" customWidth="1"/>
    <col min="43" max="43" width="8.88671875" style="6" customWidth="1"/>
    <col min="44" max="44" width="13.77734375" style="6" customWidth="1"/>
    <col min="45" max="45" width="8.77734375" style="6"/>
    <col min="46" max="46" width="14.5546875" style="6" customWidth="1"/>
    <col min="47" max="47" width="12.21875" style="17" customWidth="1"/>
    <col min="48" max="48" width="8.77734375" style="6"/>
    <col min="49" max="49" width="13.77734375" style="6" customWidth="1"/>
    <col min="50" max="50" width="8.77734375" style="6"/>
    <col min="51" max="51" width="15.88671875" style="6" customWidth="1"/>
    <col min="52" max="52" width="8.77734375" style="6"/>
    <col min="53" max="53" width="15.5546875" style="6" customWidth="1"/>
    <col min="54" max="54" width="8.77734375" style="6"/>
    <col min="55" max="55" width="15.88671875" style="6" customWidth="1"/>
    <col min="56" max="56" width="8.77734375" style="6"/>
    <col min="57" max="57" width="15" style="6" customWidth="1"/>
    <col min="58" max="58" width="8.77734375" style="6"/>
    <col min="59" max="59" width="12.33203125" style="6" customWidth="1"/>
    <col min="60" max="60" width="12.5546875" style="17" customWidth="1"/>
    <col min="61" max="61" width="8.77734375" style="6"/>
    <col min="62" max="62" width="13.77734375" style="6" customWidth="1"/>
    <col min="63" max="63" width="8.77734375" style="6"/>
    <col min="64" max="64" width="13.6640625" style="6" customWidth="1"/>
    <col min="65" max="65" width="8.77734375" style="6"/>
    <col min="66" max="66" width="14" style="6" customWidth="1"/>
    <col min="67" max="67" width="8.77734375" style="6"/>
    <col min="68" max="68" width="14.44140625" style="6" customWidth="1"/>
    <col min="69" max="69" width="8.77734375" style="6"/>
    <col min="70" max="70" width="14.77734375" style="6" customWidth="1"/>
    <col min="71" max="71" width="8.77734375" style="6"/>
    <col min="72" max="72" width="13.21875" style="6" customWidth="1"/>
    <col min="73" max="16384" width="8.77734375" style="6"/>
  </cols>
  <sheetData>
    <row r="1" spans="1:60" s="4" customFormat="1" x14ac:dyDescent="0.3">
      <c r="A1" s="1" t="s">
        <v>276</v>
      </c>
      <c r="B1" s="2" t="s">
        <v>0</v>
      </c>
      <c r="C1" s="2" t="s">
        <v>1</v>
      </c>
      <c r="D1" s="2" t="s">
        <v>93</v>
      </c>
      <c r="E1" s="2" t="s">
        <v>333</v>
      </c>
      <c r="F1" s="2" t="s">
        <v>108</v>
      </c>
      <c r="G1" s="2" t="s">
        <v>371</v>
      </c>
      <c r="H1" s="2" t="s">
        <v>300</v>
      </c>
      <c r="I1" s="2" t="s">
        <v>301</v>
      </c>
      <c r="J1" s="2" t="s">
        <v>302</v>
      </c>
      <c r="K1" s="2" t="s">
        <v>322</v>
      </c>
      <c r="L1" s="2" t="s">
        <v>334</v>
      </c>
      <c r="M1" s="2" t="s">
        <v>356</v>
      </c>
      <c r="N1" s="2" t="s">
        <v>335</v>
      </c>
      <c r="O1" s="2" t="s">
        <v>352</v>
      </c>
      <c r="P1" s="2" t="s">
        <v>336</v>
      </c>
      <c r="Q1" s="3" t="s">
        <v>379</v>
      </c>
      <c r="R1" s="3" t="s">
        <v>337</v>
      </c>
      <c r="S1" s="3" t="s">
        <v>380</v>
      </c>
      <c r="T1" s="3" t="s">
        <v>340</v>
      </c>
      <c r="U1" s="3" t="s">
        <v>339</v>
      </c>
      <c r="V1" s="3" t="s">
        <v>342</v>
      </c>
      <c r="W1" s="3" t="s">
        <v>343</v>
      </c>
      <c r="X1" s="3" t="s">
        <v>344</v>
      </c>
      <c r="Y1" s="3" t="s">
        <v>345</v>
      </c>
      <c r="Z1" s="2" t="s">
        <v>347</v>
      </c>
      <c r="AA1" s="3" t="s">
        <v>348</v>
      </c>
      <c r="AB1" s="3" t="s">
        <v>360</v>
      </c>
      <c r="AC1" s="2" t="s">
        <v>353</v>
      </c>
      <c r="AD1" s="3" t="s">
        <v>361</v>
      </c>
      <c r="AE1" s="3" t="s">
        <v>362</v>
      </c>
      <c r="AF1" s="3" t="s">
        <v>363</v>
      </c>
      <c r="AG1" s="3" t="s">
        <v>364</v>
      </c>
      <c r="AH1" s="20"/>
    </row>
    <row r="2" spans="1:60" x14ac:dyDescent="0.3">
      <c r="A2" s="5">
        <v>3282</v>
      </c>
      <c r="B2" s="6" t="s">
        <v>131</v>
      </c>
      <c r="C2" s="6" t="s">
        <v>4</v>
      </c>
      <c r="D2" s="6" t="s">
        <v>100</v>
      </c>
      <c r="E2" s="6">
        <v>11</v>
      </c>
      <c r="F2" s="6" t="s">
        <v>110</v>
      </c>
      <c r="G2" s="14">
        <f>18.9/2.2</f>
        <v>8.5909090909090899</v>
      </c>
      <c r="H2" s="6">
        <f>75.9</f>
        <v>75.900000000000006</v>
      </c>
      <c r="I2" s="6">
        <v>78.3</v>
      </c>
      <c r="J2" s="15">
        <f t="shared" ref="J2" si="0">(H2*100)/I2</f>
        <v>96.934865900383159</v>
      </c>
      <c r="K2" s="6" t="s">
        <v>101</v>
      </c>
      <c r="L2" s="8" t="s">
        <v>338</v>
      </c>
      <c r="M2" s="6">
        <f>(2.85/4.74)</f>
        <v>0.60126582278481011</v>
      </c>
      <c r="N2" s="8" t="s">
        <v>338</v>
      </c>
      <c r="O2" s="6">
        <f>(2.68/4.43)</f>
        <v>0.60496613995485338</v>
      </c>
      <c r="P2" s="12">
        <v>13</v>
      </c>
      <c r="Q2" s="6" t="s">
        <v>331</v>
      </c>
      <c r="R2" s="12">
        <v>13</v>
      </c>
      <c r="S2" s="6" t="s">
        <v>331</v>
      </c>
      <c r="T2" s="6">
        <f>(3.42/2)</f>
        <v>1.71</v>
      </c>
      <c r="U2" s="6">
        <f>(5.47/2)</f>
        <v>2.7349999999999999</v>
      </c>
      <c r="V2" s="6">
        <f t="shared" ref="V2:V32" si="1">(T2*U2)*3.142</f>
        <v>14.694662699999999</v>
      </c>
      <c r="W2" s="6">
        <f>(3.7/2)</f>
        <v>1.85</v>
      </c>
      <c r="X2" s="6">
        <f>(5.82/2)</f>
        <v>2.91</v>
      </c>
      <c r="Y2" s="6">
        <f t="shared" ref="Y2:Y39" si="2">(W2*X2)*3.142</f>
        <v>16.914957000000001</v>
      </c>
      <c r="Z2" s="6" t="s">
        <v>368</v>
      </c>
      <c r="AA2" s="6" t="s">
        <v>368</v>
      </c>
      <c r="AB2" s="6" t="s">
        <v>368</v>
      </c>
      <c r="AC2" s="6" t="s">
        <v>368</v>
      </c>
      <c r="AD2" s="6" t="s">
        <v>368</v>
      </c>
      <c r="AE2" s="6" t="s">
        <v>368</v>
      </c>
      <c r="AF2" s="6">
        <f>9.6</f>
        <v>9.6</v>
      </c>
      <c r="AG2" s="6">
        <f>9.4</f>
        <v>9.4</v>
      </c>
      <c r="AU2" s="6"/>
      <c r="BH2" s="6"/>
    </row>
    <row r="3" spans="1:60" x14ac:dyDescent="0.3">
      <c r="A3" s="5">
        <v>3283</v>
      </c>
      <c r="B3" s="6" t="s">
        <v>132</v>
      </c>
      <c r="C3" s="6" t="s">
        <v>4</v>
      </c>
      <c r="D3" s="6" t="s">
        <v>100</v>
      </c>
      <c r="E3" s="6">
        <v>9</v>
      </c>
      <c r="F3" s="6" t="s">
        <v>109</v>
      </c>
      <c r="G3" s="14">
        <f>14/2.2</f>
        <v>6.3636363636363633</v>
      </c>
      <c r="H3" s="6">
        <f>78.9</f>
        <v>78.900000000000006</v>
      </c>
      <c r="I3" s="6">
        <f>80.7</f>
        <v>80.7</v>
      </c>
      <c r="J3" s="16">
        <f t="shared" ref="J3" si="3">(H3*100)/I3</f>
        <v>97.769516728624538</v>
      </c>
      <c r="K3" s="6" t="s">
        <v>101</v>
      </c>
      <c r="L3" s="8" t="s">
        <v>338</v>
      </c>
      <c r="M3" s="6">
        <f>(2.85/4.74)</f>
        <v>0.60126582278481011</v>
      </c>
      <c r="N3" s="8" t="s">
        <v>338</v>
      </c>
      <c r="O3" s="6">
        <f>(2.68/4.43)</f>
        <v>0.60496613995485338</v>
      </c>
      <c r="P3" s="12">
        <v>13</v>
      </c>
      <c r="Q3" s="6" t="s">
        <v>331</v>
      </c>
      <c r="R3" s="12">
        <v>13</v>
      </c>
      <c r="S3" s="6" t="s">
        <v>331</v>
      </c>
      <c r="T3" s="6">
        <f>(3.42/2)</f>
        <v>1.71</v>
      </c>
      <c r="U3" s="6">
        <f>(5.47/2)</f>
        <v>2.7349999999999999</v>
      </c>
      <c r="V3" s="6">
        <f t="shared" si="1"/>
        <v>14.694662699999999</v>
      </c>
      <c r="W3" s="6">
        <f>(3.6/2)</f>
        <v>1.8</v>
      </c>
      <c r="X3" s="6">
        <f>(2.55/2)</f>
        <v>1.2749999999999999</v>
      </c>
      <c r="Y3" s="6">
        <f t="shared" si="2"/>
        <v>7.2108899999999991</v>
      </c>
      <c r="Z3" s="6" t="s">
        <v>368</v>
      </c>
      <c r="AA3" s="6" t="s">
        <v>368</v>
      </c>
      <c r="AB3" s="6" t="s">
        <v>368</v>
      </c>
      <c r="AC3" s="6" t="s">
        <v>368</v>
      </c>
      <c r="AD3" s="6" t="s">
        <v>368</v>
      </c>
      <c r="AE3" s="6" t="s">
        <v>368</v>
      </c>
      <c r="AF3" s="6">
        <f>11.7</f>
        <v>11.7</v>
      </c>
      <c r="AG3" s="6">
        <f>11.1</f>
        <v>11.1</v>
      </c>
      <c r="AU3" s="6"/>
      <c r="BH3" s="6"/>
    </row>
    <row r="4" spans="1:60" x14ac:dyDescent="0.3">
      <c r="A4" s="5">
        <v>103800</v>
      </c>
      <c r="B4" s="6" t="s">
        <v>134</v>
      </c>
      <c r="C4" s="6" t="s">
        <v>6</v>
      </c>
      <c r="D4" s="6" t="s">
        <v>104</v>
      </c>
      <c r="E4" s="6">
        <v>7</v>
      </c>
      <c r="F4" s="6" t="s">
        <v>109</v>
      </c>
      <c r="G4" s="14">
        <f>91/2.2</f>
        <v>41.36363636363636</v>
      </c>
      <c r="H4" s="6">
        <f>99.6</f>
        <v>99.6</v>
      </c>
      <c r="I4" s="6">
        <f>119.4</f>
        <v>119.4</v>
      </c>
      <c r="J4" s="16">
        <f t="shared" ref="J4" si="4">(H4*100)/I4</f>
        <v>83.417085427135675</v>
      </c>
      <c r="K4" s="6" t="s">
        <v>101</v>
      </c>
      <c r="L4" s="6">
        <v>2</v>
      </c>
      <c r="M4" s="6">
        <v>0</v>
      </c>
      <c r="N4" s="6">
        <v>2</v>
      </c>
      <c r="O4" s="6">
        <v>0</v>
      </c>
      <c r="P4" s="6">
        <v>9</v>
      </c>
      <c r="Q4" s="6">
        <v>0</v>
      </c>
      <c r="R4" s="6">
        <v>9</v>
      </c>
      <c r="S4" s="6">
        <v>0</v>
      </c>
      <c r="T4" s="6">
        <f>(5.1/2)</f>
        <v>2.5499999999999998</v>
      </c>
      <c r="U4" s="6">
        <f>(8.1/2)</f>
        <v>4.05</v>
      </c>
      <c r="V4" s="6">
        <f t="shared" si="1"/>
        <v>32.449004999999993</v>
      </c>
      <c r="W4" s="6">
        <f>(5.1/2)</f>
        <v>2.5499999999999998</v>
      </c>
      <c r="X4" s="6">
        <f>(7.8/2)</f>
        <v>3.9</v>
      </c>
      <c r="Y4" s="6">
        <f t="shared" si="2"/>
        <v>31.247189999999993</v>
      </c>
      <c r="Z4" s="6">
        <f>(4.83/2)</f>
        <v>2.415</v>
      </c>
      <c r="AA4" s="6">
        <f>(8.53/2)</f>
        <v>4.2649999999999997</v>
      </c>
      <c r="AB4" s="6">
        <f t="shared" ref="AB4:AB15" si="5">(Z4*AA4)*3.142</f>
        <v>32.362521449999996</v>
      </c>
      <c r="AC4" s="6">
        <f>(4.5/2)</f>
        <v>2.25</v>
      </c>
      <c r="AD4" s="6">
        <f>(7.94/2)</f>
        <v>3.97</v>
      </c>
      <c r="AE4" s="6">
        <f t="shared" ref="AE4:AE15" si="6">(AC4*AD4)*3.142</f>
        <v>28.065915000000004</v>
      </c>
      <c r="AF4" s="6">
        <f>13.2</f>
        <v>13.2</v>
      </c>
      <c r="AG4" s="6">
        <f>13.5</f>
        <v>13.5</v>
      </c>
      <c r="AU4" s="6"/>
      <c r="BH4" s="6"/>
    </row>
    <row r="5" spans="1:60" x14ac:dyDescent="0.3">
      <c r="A5" s="5">
        <v>103728</v>
      </c>
      <c r="B5" s="6" t="s">
        <v>138</v>
      </c>
      <c r="C5" s="6" t="s">
        <v>11</v>
      </c>
      <c r="D5" s="6" t="s">
        <v>112</v>
      </c>
      <c r="E5" s="6">
        <v>1</v>
      </c>
      <c r="F5" s="6" t="s">
        <v>95</v>
      </c>
      <c r="G5" s="14">
        <f>85.4/2.2</f>
        <v>38.81818181818182</v>
      </c>
      <c r="H5" s="6">
        <f>101.1</f>
        <v>101.1</v>
      </c>
      <c r="I5" s="6">
        <f>107.7</f>
        <v>107.7</v>
      </c>
      <c r="J5" s="14">
        <f t="shared" ref="J5" si="7">(H5*100)/I5</f>
        <v>93.871866295264624</v>
      </c>
      <c r="K5" s="6" t="s">
        <v>101</v>
      </c>
      <c r="L5" s="6">
        <v>2</v>
      </c>
      <c r="M5" s="6">
        <v>0</v>
      </c>
      <c r="N5" s="6">
        <v>2</v>
      </c>
      <c r="O5" s="6">
        <v>0</v>
      </c>
      <c r="P5" s="6">
        <v>9</v>
      </c>
      <c r="Q5" s="6">
        <v>0</v>
      </c>
      <c r="R5" s="6">
        <v>9</v>
      </c>
      <c r="S5" s="6">
        <v>0</v>
      </c>
      <c r="T5" s="6">
        <f>(4/2)</f>
        <v>2</v>
      </c>
      <c r="U5" s="6">
        <f>(7.65/2)</f>
        <v>3.8250000000000002</v>
      </c>
      <c r="V5" s="6">
        <f t="shared" si="1"/>
        <v>24.036300000000001</v>
      </c>
      <c r="W5" s="6">
        <f>(4.81/2)</f>
        <v>2.4049999999999998</v>
      </c>
      <c r="X5" s="6">
        <f>(6.93/2)</f>
        <v>3.4649999999999999</v>
      </c>
      <c r="Y5" s="6">
        <f t="shared" si="2"/>
        <v>26.183307149999994</v>
      </c>
      <c r="Z5" s="6">
        <f>(5.4/2)</f>
        <v>2.7</v>
      </c>
      <c r="AA5" s="6">
        <f>(12.9/2)</f>
        <v>6.45</v>
      </c>
      <c r="AB5" s="6">
        <f t="shared" si="5"/>
        <v>54.71793000000001</v>
      </c>
      <c r="AC5" s="6">
        <f>(5.4/2)</f>
        <v>2.7</v>
      </c>
      <c r="AD5" s="6">
        <f>(11.73/2)</f>
        <v>5.8650000000000002</v>
      </c>
      <c r="AE5" s="6">
        <f t="shared" si="6"/>
        <v>49.755141000000002</v>
      </c>
      <c r="AF5" s="6">
        <f>17.5</f>
        <v>17.5</v>
      </c>
      <c r="AG5" s="6">
        <f>17.8</f>
        <v>17.8</v>
      </c>
      <c r="AU5" s="6"/>
      <c r="BH5" s="6"/>
    </row>
    <row r="6" spans="1:60" x14ac:dyDescent="0.3">
      <c r="A6" s="5">
        <v>103781</v>
      </c>
      <c r="B6" s="6" t="s">
        <v>140</v>
      </c>
      <c r="C6" s="6" t="s">
        <v>14</v>
      </c>
      <c r="D6" s="6" t="s">
        <v>104</v>
      </c>
      <c r="E6" s="6">
        <v>4</v>
      </c>
      <c r="F6" s="6" t="s">
        <v>110</v>
      </c>
      <c r="G6" s="14">
        <f>66.9/2.2</f>
        <v>30.40909090909091</v>
      </c>
      <c r="H6" s="6">
        <f>90</f>
        <v>90</v>
      </c>
      <c r="I6" s="6">
        <f>107.7</f>
        <v>107.7</v>
      </c>
      <c r="J6" s="14">
        <f>(H6*100)/I6</f>
        <v>83.565459610027858</v>
      </c>
      <c r="K6" s="6" t="s">
        <v>101</v>
      </c>
      <c r="L6" s="6" t="s">
        <v>369</v>
      </c>
      <c r="M6" s="6">
        <v>0</v>
      </c>
      <c r="N6" s="6" t="s">
        <v>369</v>
      </c>
      <c r="O6" s="6">
        <v>0</v>
      </c>
      <c r="P6" s="6">
        <v>9</v>
      </c>
      <c r="Q6" s="6">
        <v>0</v>
      </c>
      <c r="R6" s="6">
        <v>9</v>
      </c>
      <c r="S6" s="6">
        <v>0</v>
      </c>
      <c r="T6" s="6">
        <f>(4/2)</f>
        <v>2</v>
      </c>
      <c r="U6" s="6">
        <f>(7.3/2)</f>
        <v>3.65</v>
      </c>
      <c r="V6" s="6">
        <f t="shared" si="1"/>
        <v>22.936599999999999</v>
      </c>
      <c r="W6" s="6">
        <f>(4.5/2)</f>
        <v>2.25</v>
      </c>
      <c r="X6" s="6">
        <f>(7.79/2)</f>
        <v>3.895</v>
      </c>
      <c r="Y6" s="6">
        <f t="shared" si="2"/>
        <v>27.535702499999999</v>
      </c>
      <c r="Z6" s="6">
        <f>(4.2/2)</f>
        <v>2.1</v>
      </c>
      <c r="AA6" s="6">
        <f>(9.6/2)</f>
        <v>4.8</v>
      </c>
      <c r="AB6" s="6">
        <f t="shared" si="5"/>
        <v>31.67136</v>
      </c>
      <c r="AC6" s="6">
        <f>(4.5/2)</f>
        <v>2.25</v>
      </c>
      <c r="AD6" s="6">
        <f>(8.12/2)</f>
        <v>4.0599999999999996</v>
      </c>
      <c r="AE6" s="6">
        <f t="shared" si="6"/>
        <v>28.702169999999999</v>
      </c>
      <c r="AF6" s="6">
        <f>15.7</f>
        <v>15.7</v>
      </c>
      <c r="AG6" s="6">
        <f>15</f>
        <v>15</v>
      </c>
      <c r="AU6" s="6"/>
      <c r="BH6" s="6"/>
    </row>
    <row r="7" spans="1:60" x14ac:dyDescent="0.3">
      <c r="A7" s="5">
        <v>103834</v>
      </c>
      <c r="B7" s="6" t="s">
        <v>141</v>
      </c>
      <c r="C7" s="6" t="s">
        <v>15</v>
      </c>
      <c r="D7" s="6" t="s">
        <v>100</v>
      </c>
      <c r="E7" s="6">
        <v>2</v>
      </c>
      <c r="F7" s="6" t="s">
        <v>109</v>
      </c>
      <c r="G7" s="14">
        <f>32.6/2.2</f>
        <v>14.818181818181818</v>
      </c>
      <c r="H7" s="6">
        <f>85.8</f>
        <v>85.8</v>
      </c>
      <c r="I7" s="6">
        <f>76.2</f>
        <v>76.2</v>
      </c>
      <c r="J7" s="14">
        <f>(H7*100)/I7</f>
        <v>112.59842519685039</v>
      </c>
      <c r="K7" s="6" t="s">
        <v>101</v>
      </c>
      <c r="L7" s="8" t="s">
        <v>338</v>
      </c>
      <c r="M7" s="6">
        <f>(1.9/5.98)</f>
        <v>0.31772575250836116</v>
      </c>
      <c r="N7" s="8" t="s">
        <v>338</v>
      </c>
      <c r="O7" s="6">
        <f>(1.9/5.6)</f>
        <v>0.3392857142857143</v>
      </c>
      <c r="P7" s="13" t="s">
        <v>383</v>
      </c>
      <c r="Q7" s="6">
        <f>(2.4/9.6)</f>
        <v>0.25</v>
      </c>
      <c r="R7" s="13" t="s">
        <v>383</v>
      </c>
      <c r="S7" s="6">
        <f>(2.1/9.92)</f>
        <v>0.21169354838709678</v>
      </c>
      <c r="T7" s="6">
        <f>(4.2/2)</f>
        <v>2.1</v>
      </c>
      <c r="U7" s="6">
        <f>(5.98/2)</f>
        <v>2.99</v>
      </c>
      <c r="V7" s="6">
        <f t="shared" si="1"/>
        <v>19.728618000000001</v>
      </c>
      <c r="W7" s="6">
        <f>(3.95/2)</f>
        <v>1.9750000000000001</v>
      </c>
      <c r="X7" s="6">
        <f>(5.6/2)</f>
        <v>2.8</v>
      </c>
      <c r="Y7" s="6">
        <f t="shared" si="2"/>
        <v>17.375260000000001</v>
      </c>
      <c r="Z7" s="6">
        <f>(4.21/2)</f>
        <v>2.105</v>
      </c>
      <c r="AA7" s="6">
        <f>(9.6/2)</f>
        <v>4.8</v>
      </c>
      <c r="AB7" s="6">
        <f t="shared" si="5"/>
        <v>31.746767999999996</v>
      </c>
      <c r="AC7" s="6">
        <f>(4.21/2)</f>
        <v>2.105</v>
      </c>
      <c r="AD7" s="6">
        <f>(9.92/2)</f>
        <v>4.96</v>
      </c>
      <c r="AE7" s="6">
        <f t="shared" si="6"/>
        <v>32.804993599999996</v>
      </c>
      <c r="AF7" s="6">
        <f>12.9</f>
        <v>12.9</v>
      </c>
      <c r="AG7" s="6">
        <f>12</f>
        <v>12</v>
      </c>
      <c r="AU7" s="6"/>
      <c r="BH7" s="6"/>
    </row>
    <row r="8" spans="1:60" x14ac:dyDescent="0.3">
      <c r="A8" s="5">
        <v>2701</v>
      </c>
      <c r="B8" s="6" t="s">
        <v>144</v>
      </c>
      <c r="C8" s="6" t="s">
        <v>16</v>
      </c>
      <c r="D8" s="6" t="s">
        <v>115</v>
      </c>
      <c r="E8" s="6">
        <v>6</v>
      </c>
      <c r="F8" s="6" t="s">
        <v>110</v>
      </c>
      <c r="G8" s="14">
        <f>35.2/2.2</f>
        <v>16</v>
      </c>
      <c r="H8" s="6">
        <f>95.1</f>
        <v>95.1</v>
      </c>
      <c r="I8" s="6">
        <f>85.8</f>
        <v>85.8</v>
      </c>
      <c r="J8" s="14">
        <f>(H8*100)/I8</f>
        <v>110.83916083916084</v>
      </c>
      <c r="K8" s="6" t="s">
        <v>101</v>
      </c>
      <c r="L8" s="6">
        <v>2</v>
      </c>
      <c r="M8" s="6">
        <v>0</v>
      </c>
      <c r="N8" s="6">
        <v>2</v>
      </c>
      <c r="O8" s="6">
        <v>0</v>
      </c>
      <c r="P8" s="13" t="s">
        <v>383</v>
      </c>
      <c r="Q8" s="6">
        <f>(0.9/10.24)</f>
        <v>8.7890625E-2</v>
      </c>
      <c r="R8" s="13" t="s">
        <v>383</v>
      </c>
      <c r="S8" s="6">
        <f>(1.2/9.92)</f>
        <v>0.12096774193548386</v>
      </c>
      <c r="T8" s="6">
        <f>(2.4/2)</f>
        <v>1.2</v>
      </c>
      <c r="U8" s="6">
        <f>(5.41/2)</f>
        <v>2.7050000000000001</v>
      </c>
      <c r="V8" s="6">
        <f t="shared" si="1"/>
        <v>10.198931999999999</v>
      </c>
      <c r="W8" s="6">
        <f>(2.85/2)</f>
        <v>1.425</v>
      </c>
      <c r="X8" s="6">
        <f>(6.07/2)</f>
        <v>3.0350000000000001</v>
      </c>
      <c r="Y8" s="6">
        <f t="shared" si="2"/>
        <v>13.58875725</v>
      </c>
      <c r="Z8" s="6">
        <f>(3.61/2)</f>
        <v>1.8049999999999999</v>
      </c>
      <c r="AA8" s="6">
        <f>(10.24/2)</f>
        <v>5.12</v>
      </c>
      <c r="AB8" s="6">
        <f t="shared" si="5"/>
        <v>29.037107199999998</v>
      </c>
      <c r="AC8" s="6">
        <f>(3.06/2)</f>
        <v>1.53</v>
      </c>
      <c r="AD8" s="6">
        <f>(9.92/2)</f>
        <v>4.96</v>
      </c>
      <c r="AE8" s="6">
        <f t="shared" si="6"/>
        <v>23.8440096</v>
      </c>
      <c r="AF8" s="6">
        <f>13.5</f>
        <v>13.5</v>
      </c>
      <c r="AG8" s="6">
        <f>14.1</f>
        <v>14.1</v>
      </c>
      <c r="AU8" s="6"/>
      <c r="BH8" s="6"/>
    </row>
    <row r="9" spans="1:60" x14ac:dyDescent="0.3">
      <c r="A9" s="5">
        <v>3138</v>
      </c>
      <c r="B9" s="6" t="s">
        <v>146</v>
      </c>
      <c r="C9" s="6" t="s">
        <v>18</v>
      </c>
      <c r="D9" s="6" t="s">
        <v>116</v>
      </c>
      <c r="E9" s="6">
        <v>6</v>
      </c>
      <c r="F9" s="6" t="s">
        <v>110</v>
      </c>
      <c r="G9" s="14">
        <f>60.9/2.2</f>
        <v>27.68181818181818</v>
      </c>
      <c r="H9" s="6">
        <f>77.4</f>
        <v>77.400000000000006</v>
      </c>
      <c r="I9" s="6">
        <f>101.4</f>
        <v>101.4</v>
      </c>
      <c r="J9" s="14">
        <f t="shared" ref="J9" si="8">(H9*100)/I9</f>
        <v>76.331360946745562</v>
      </c>
      <c r="K9" s="6" t="s">
        <v>101</v>
      </c>
      <c r="L9" s="6">
        <v>2</v>
      </c>
      <c r="M9" s="6">
        <v>0</v>
      </c>
      <c r="N9" s="6">
        <v>2</v>
      </c>
      <c r="O9" s="6">
        <v>0</v>
      </c>
      <c r="P9" s="6">
        <v>9</v>
      </c>
      <c r="Q9" s="6">
        <v>0</v>
      </c>
      <c r="R9" s="6">
        <v>9</v>
      </c>
      <c r="S9" s="6">
        <v>0</v>
      </c>
      <c r="T9" s="6">
        <f>(3.06/2)</f>
        <v>1.53</v>
      </c>
      <c r="U9" s="6">
        <f>(6.57/2)</f>
        <v>3.2850000000000001</v>
      </c>
      <c r="V9" s="6">
        <f t="shared" si="1"/>
        <v>15.791849100000002</v>
      </c>
      <c r="W9" s="6">
        <f>(2.42/2)</f>
        <v>1.21</v>
      </c>
      <c r="X9" s="6">
        <f>(6.03/2)</f>
        <v>3.0150000000000001</v>
      </c>
      <c r="Y9" s="6">
        <f t="shared" si="2"/>
        <v>11.462487300000001</v>
      </c>
      <c r="Z9" s="6">
        <f>(3.91/2)</f>
        <v>1.9550000000000001</v>
      </c>
      <c r="AA9" s="6">
        <f>(6.01/2)</f>
        <v>3.0049999999999999</v>
      </c>
      <c r="AB9" s="6">
        <f t="shared" si="5"/>
        <v>18.458543049999999</v>
      </c>
      <c r="AC9" s="6">
        <f>(3.9/2)</f>
        <v>1.95</v>
      </c>
      <c r="AD9" s="6">
        <f>(6/2)</f>
        <v>3</v>
      </c>
      <c r="AE9" s="6">
        <f t="shared" si="6"/>
        <v>18.380699999999997</v>
      </c>
      <c r="AF9" s="6">
        <f>13.8</f>
        <v>13.8</v>
      </c>
      <c r="AG9" s="6">
        <f>13.2</f>
        <v>13.2</v>
      </c>
      <c r="AU9" s="6"/>
      <c r="BH9" s="6"/>
    </row>
    <row r="10" spans="1:60" x14ac:dyDescent="0.3">
      <c r="A10" s="5">
        <v>103862</v>
      </c>
      <c r="B10" s="6" t="s">
        <v>149</v>
      </c>
      <c r="C10" s="6" t="s">
        <v>9</v>
      </c>
      <c r="D10" s="6" t="s">
        <v>119</v>
      </c>
      <c r="E10" s="6">
        <v>9</v>
      </c>
      <c r="F10" s="6" t="s">
        <v>110</v>
      </c>
      <c r="G10" s="14">
        <f>48.3/2.2</f>
        <v>21.954545454545453</v>
      </c>
      <c r="H10" s="6">
        <v>93.3</v>
      </c>
      <c r="I10" s="6">
        <f>97.5</f>
        <v>97.5</v>
      </c>
      <c r="J10" s="14">
        <f>(H10*100)/I10</f>
        <v>95.692307692307693</v>
      </c>
      <c r="K10" s="6" t="s">
        <v>101</v>
      </c>
      <c r="L10" s="8" t="s">
        <v>370</v>
      </c>
      <c r="M10" s="6">
        <f>(0.9/6.41)</f>
        <v>0.14040561622464898</v>
      </c>
      <c r="N10" s="8" t="s">
        <v>370</v>
      </c>
      <c r="O10" s="6">
        <f>(0.67/6.9)</f>
        <v>9.7101449275362323E-2</v>
      </c>
      <c r="P10" s="13" t="s">
        <v>383</v>
      </c>
      <c r="Q10" s="6">
        <f>(2.1/8.1)</f>
        <v>0.2592592592592593</v>
      </c>
      <c r="R10" s="13" t="s">
        <v>381</v>
      </c>
      <c r="S10" s="6">
        <f>(3.9/7.81)</f>
        <v>0.49935979513444306</v>
      </c>
      <c r="T10" s="6">
        <f>(4.81/2)</f>
        <v>2.4049999999999998</v>
      </c>
      <c r="U10" s="6">
        <f>(6.63/2)</f>
        <v>3.3149999999999999</v>
      </c>
      <c r="V10" s="6">
        <f t="shared" si="1"/>
        <v>25.049830649999997</v>
      </c>
      <c r="W10" s="6">
        <f>(4.54/2)</f>
        <v>2.27</v>
      </c>
      <c r="X10" s="6">
        <f>(7.51/2)</f>
        <v>3.7549999999999999</v>
      </c>
      <c r="Y10" s="6">
        <f t="shared" si="2"/>
        <v>26.781936699999999</v>
      </c>
      <c r="Z10" s="6">
        <f>(4.8/2)</f>
        <v>2.4</v>
      </c>
      <c r="AA10" s="6">
        <f>(8.1/2)</f>
        <v>4.05</v>
      </c>
      <c r="AB10" s="6">
        <f t="shared" si="5"/>
        <v>30.540239999999997</v>
      </c>
      <c r="AC10" s="6">
        <f>(4.54/2)</f>
        <v>2.27</v>
      </c>
      <c r="AD10" s="6">
        <f>(7.81/2)</f>
        <v>3.9049999999999998</v>
      </c>
      <c r="AE10" s="6">
        <f t="shared" si="6"/>
        <v>27.851787699999999</v>
      </c>
      <c r="AF10" s="6">
        <f>15</f>
        <v>15</v>
      </c>
      <c r="AG10" s="6">
        <f>15</f>
        <v>15</v>
      </c>
      <c r="AU10" s="6"/>
      <c r="BH10" s="6"/>
    </row>
    <row r="11" spans="1:60" x14ac:dyDescent="0.3">
      <c r="A11" s="5">
        <v>103906</v>
      </c>
      <c r="B11" s="6" t="s">
        <v>158</v>
      </c>
      <c r="C11" s="6" t="s">
        <v>32</v>
      </c>
      <c r="D11" s="6" t="s">
        <v>115</v>
      </c>
      <c r="E11" s="6">
        <v>7</v>
      </c>
      <c r="F11" s="6" t="s">
        <v>110</v>
      </c>
      <c r="G11" s="14">
        <f>27.4/2.2</f>
        <v>12.454545454545453</v>
      </c>
      <c r="H11" s="6">
        <f>90.6</f>
        <v>90.6</v>
      </c>
      <c r="I11" s="6">
        <f>80.4</f>
        <v>80.400000000000006</v>
      </c>
      <c r="J11" s="14">
        <f t="shared" ref="J11" si="9">(H11*100)/I11</f>
        <v>112.6865671641791</v>
      </c>
      <c r="K11" s="6" t="s">
        <v>101</v>
      </c>
      <c r="L11" s="8" t="s">
        <v>338</v>
      </c>
      <c r="M11" s="6">
        <f>(2.1/5.11)</f>
        <v>0.41095890410958902</v>
      </c>
      <c r="N11" s="8" t="s">
        <v>338</v>
      </c>
      <c r="O11" s="6">
        <f>(0.6/4.51)</f>
        <v>0.13303769401330376</v>
      </c>
      <c r="P11" s="13" t="s">
        <v>383</v>
      </c>
      <c r="Q11" s="6">
        <f>(2.1/8.42)</f>
        <v>0.24940617577197152</v>
      </c>
      <c r="R11" s="13" t="s">
        <v>381</v>
      </c>
      <c r="S11" s="6">
        <f>(3.06/8.53)</f>
        <v>0.35873388042203991</v>
      </c>
      <c r="T11" s="6">
        <f>(2.1/2)</f>
        <v>1.05</v>
      </c>
      <c r="U11" s="6">
        <f>(5.71/2)</f>
        <v>2.855</v>
      </c>
      <c r="V11" s="6">
        <f t="shared" si="1"/>
        <v>9.4189305000000001</v>
      </c>
      <c r="W11" s="6">
        <f>(2.4/2)</f>
        <v>1.2</v>
      </c>
      <c r="X11" s="6">
        <f>(5.43/2)</f>
        <v>2.7149999999999999</v>
      </c>
      <c r="Y11" s="6">
        <f t="shared" si="2"/>
        <v>10.236635999999999</v>
      </c>
      <c r="Z11" s="6">
        <f>(3/2)</f>
        <v>1.5</v>
      </c>
      <c r="AA11" s="6">
        <f>(8.42/2)</f>
        <v>4.21</v>
      </c>
      <c r="AB11" s="6">
        <f t="shared" si="5"/>
        <v>19.841729999999998</v>
      </c>
      <c r="AC11" s="6">
        <f>(3.3/2)</f>
        <v>1.65</v>
      </c>
      <c r="AD11" s="6">
        <f>(8.55/2)</f>
        <v>4.2750000000000004</v>
      </c>
      <c r="AE11" s="6">
        <f t="shared" si="6"/>
        <v>22.162882499999998</v>
      </c>
      <c r="AF11" s="6">
        <f>12.3</f>
        <v>12.3</v>
      </c>
      <c r="AG11" s="6">
        <f>12.3</f>
        <v>12.3</v>
      </c>
      <c r="AU11" s="6"/>
      <c r="BH11" s="6"/>
    </row>
    <row r="12" spans="1:60" x14ac:dyDescent="0.3">
      <c r="A12" s="5">
        <v>103917</v>
      </c>
      <c r="B12" s="6" t="s">
        <v>162</v>
      </c>
      <c r="C12" s="6" t="s">
        <v>36</v>
      </c>
      <c r="D12" s="6" t="s">
        <v>232</v>
      </c>
      <c r="E12" s="6">
        <v>4</v>
      </c>
      <c r="F12" s="6" t="s">
        <v>110</v>
      </c>
      <c r="G12" s="14">
        <f>80.7/2.2</f>
        <v>36.68181818181818</v>
      </c>
      <c r="H12" s="6">
        <v>101.71</v>
      </c>
      <c r="I12" s="6">
        <f>110.4</f>
        <v>110.4</v>
      </c>
      <c r="J12" s="14">
        <f t="shared" ref="J12" si="10">(H12*100)/I12</f>
        <v>92.128623188405797</v>
      </c>
      <c r="K12" s="6" t="s">
        <v>101</v>
      </c>
      <c r="L12" s="6">
        <v>2</v>
      </c>
      <c r="M12" s="6">
        <f>0</f>
        <v>0</v>
      </c>
      <c r="N12" s="6">
        <v>2</v>
      </c>
      <c r="O12" s="6">
        <f>0</f>
        <v>0</v>
      </c>
      <c r="P12" s="6">
        <v>9</v>
      </c>
      <c r="Q12" s="6">
        <f>0</f>
        <v>0</v>
      </c>
      <c r="R12" s="6">
        <v>9</v>
      </c>
      <c r="S12" s="6">
        <f>0</f>
        <v>0</v>
      </c>
      <c r="T12" s="6">
        <f>(3.76/2)</f>
        <v>1.88</v>
      </c>
      <c r="U12" s="6">
        <f>(7.89/2)</f>
        <v>3.9449999999999998</v>
      </c>
      <c r="V12" s="6">
        <f t="shared" si="1"/>
        <v>23.302957199999994</v>
      </c>
      <c r="W12" s="6">
        <f>(3.6/2)</f>
        <v>1.8</v>
      </c>
      <c r="X12" s="6">
        <f>(7.21/2)</f>
        <v>3.605</v>
      </c>
      <c r="Y12" s="6">
        <f t="shared" si="2"/>
        <v>20.388438000000001</v>
      </c>
      <c r="Z12" s="6">
        <f>(4.95/2)</f>
        <v>2.4750000000000001</v>
      </c>
      <c r="AA12" s="6">
        <f>(9.38/2)</f>
        <v>4.6900000000000004</v>
      </c>
      <c r="AB12" s="6">
        <f t="shared" si="5"/>
        <v>36.471550499999999</v>
      </c>
      <c r="AC12" s="6">
        <f>(4.8/2)</f>
        <v>2.4</v>
      </c>
      <c r="AD12" s="6">
        <f>(9.67/2)</f>
        <v>4.835</v>
      </c>
      <c r="AE12" s="6">
        <f t="shared" si="6"/>
        <v>36.459767999999997</v>
      </c>
      <c r="AF12" s="6">
        <f>16.5</f>
        <v>16.5</v>
      </c>
      <c r="AG12" s="6">
        <f>16.8</f>
        <v>16.8</v>
      </c>
      <c r="AU12" s="6"/>
      <c r="BH12" s="6"/>
    </row>
    <row r="13" spans="1:60" x14ac:dyDescent="0.3">
      <c r="A13" s="5">
        <v>103975</v>
      </c>
      <c r="B13" s="6" t="s">
        <v>184</v>
      </c>
      <c r="C13" s="6" t="s">
        <v>44</v>
      </c>
      <c r="D13" s="6" t="s">
        <v>100</v>
      </c>
      <c r="E13" s="6">
        <v>8</v>
      </c>
      <c r="F13" s="6" t="s">
        <v>109</v>
      </c>
      <c r="G13" s="14">
        <f>14.3/2.2</f>
        <v>6.5</v>
      </c>
      <c r="H13" s="6">
        <f>77.1</f>
        <v>77.099999999999994</v>
      </c>
      <c r="I13" s="6">
        <v>64.8</v>
      </c>
      <c r="J13" s="14">
        <f t="shared" ref="J13" si="11">(H13*100)/I13</f>
        <v>118.98148148148147</v>
      </c>
      <c r="K13" s="6" t="s">
        <v>101</v>
      </c>
      <c r="L13" s="8" t="s">
        <v>338</v>
      </c>
      <c r="M13" s="6">
        <f>(3.3/6.31)</f>
        <v>0.52297939778129954</v>
      </c>
      <c r="N13" s="8" t="s">
        <v>338</v>
      </c>
      <c r="O13" s="6">
        <f>(3.35/6.66)</f>
        <v>0.50300300300300305</v>
      </c>
      <c r="P13" s="13" t="s">
        <v>383</v>
      </c>
      <c r="Q13" s="6">
        <f>(5.47/9.12)</f>
        <v>0.59978070175438603</v>
      </c>
      <c r="R13" s="13" t="s">
        <v>383</v>
      </c>
      <c r="S13" s="6">
        <f>(3.35/8.83)</f>
        <v>0.37938844847112119</v>
      </c>
      <c r="T13" s="6">
        <f>(3.6/2)</f>
        <v>1.8</v>
      </c>
      <c r="U13" s="6">
        <f>(6.01/2)</f>
        <v>3.0049999999999999</v>
      </c>
      <c r="V13" s="6">
        <f t="shared" si="1"/>
        <v>16.995077999999999</v>
      </c>
      <c r="W13" s="6">
        <f>(3.9/2)</f>
        <v>1.95</v>
      </c>
      <c r="X13" s="6">
        <f>(6.61/2)</f>
        <v>3.3050000000000002</v>
      </c>
      <c r="Y13" s="6">
        <f t="shared" si="2"/>
        <v>20.249404500000001</v>
      </c>
      <c r="Z13" s="6">
        <f>(5.73/2)</f>
        <v>2.8650000000000002</v>
      </c>
      <c r="AA13" s="6">
        <f>(9.12/2)</f>
        <v>4.5599999999999996</v>
      </c>
      <c r="AB13" s="6">
        <f t="shared" si="5"/>
        <v>41.048344799999995</v>
      </c>
      <c r="AC13" s="6">
        <f>(5.82/2)</f>
        <v>2.91</v>
      </c>
      <c r="AD13" s="6">
        <f>(8.83/2)</f>
        <v>4.415</v>
      </c>
      <c r="AE13" s="6">
        <f t="shared" si="6"/>
        <v>40.367316300000006</v>
      </c>
      <c r="AF13" s="6">
        <f>11.7</f>
        <v>11.7</v>
      </c>
      <c r="AG13" s="6">
        <f>11.4</f>
        <v>11.4</v>
      </c>
      <c r="AU13" s="6"/>
      <c r="BH13" s="6"/>
    </row>
    <row r="14" spans="1:60" x14ac:dyDescent="0.3">
      <c r="A14" s="5">
        <v>103846</v>
      </c>
      <c r="B14" s="6" t="s">
        <v>188</v>
      </c>
      <c r="C14" s="6" t="s">
        <v>48</v>
      </c>
      <c r="D14" s="6" t="s">
        <v>240</v>
      </c>
      <c r="E14" s="6">
        <v>9</v>
      </c>
      <c r="F14" s="6" t="s">
        <v>109</v>
      </c>
      <c r="G14" s="14">
        <f>54.4/2.2</f>
        <v>24.727272727272723</v>
      </c>
      <c r="H14" s="6">
        <f>88.2</f>
        <v>88.2</v>
      </c>
      <c r="I14" s="6">
        <f>107.1</f>
        <v>107.1</v>
      </c>
      <c r="J14" s="14">
        <f>(H14*100)/I14</f>
        <v>82.352941176470594</v>
      </c>
      <c r="K14" s="6" t="s">
        <v>101</v>
      </c>
      <c r="L14" s="6">
        <v>2</v>
      </c>
      <c r="M14" s="6">
        <f>0</f>
        <v>0</v>
      </c>
      <c r="N14" s="6">
        <v>2</v>
      </c>
      <c r="O14" s="6">
        <f>0</f>
        <v>0</v>
      </c>
      <c r="P14" s="6">
        <v>9</v>
      </c>
      <c r="Q14" s="6">
        <f>0</f>
        <v>0</v>
      </c>
      <c r="R14" s="6">
        <v>9</v>
      </c>
      <c r="S14" s="6">
        <f>0</f>
        <v>0</v>
      </c>
      <c r="T14" s="6">
        <f>(4.54/2)</f>
        <v>2.27</v>
      </c>
      <c r="U14" s="6">
        <f>(6.31/2)</f>
        <v>3.1549999999999998</v>
      </c>
      <c r="V14" s="6">
        <f t="shared" si="1"/>
        <v>22.502532699999996</v>
      </c>
      <c r="W14" s="6">
        <f>(3.13/2)</f>
        <v>1.5649999999999999</v>
      </c>
      <c r="X14" s="6">
        <f>(6.55/2)</f>
        <v>3.2749999999999999</v>
      </c>
      <c r="Y14" s="6">
        <f t="shared" si="2"/>
        <v>16.103928249999999</v>
      </c>
      <c r="Z14" s="6">
        <f>(3.91/2)</f>
        <v>1.9550000000000001</v>
      </c>
      <c r="AA14" s="6">
        <f>(7.26/2)</f>
        <v>3.63</v>
      </c>
      <c r="AB14" s="6">
        <f t="shared" si="5"/>
        <v>22.297674300000001</v>
      </c>
      <c r="AC14" s="6">
        <f>(3.61/2)</f>
        <v>1.8049999999999999</v>
      </c>
      <c r="AD14" s="6">
        <f>(6.66/2)</f>
        <v>3.33</v>
      </c>
      <c r="AE14" s="6">
        <f t="shared" si="6"/>
        <v>18.8854623</v>
      </c>
      <c r="AF14" s="6">
        <f>15.3</f>
        <v>15.3</v>
      </c>
      <c r="AG14" s="6">
        <f>14.1</f>
        <v>14.1</v>
      </c>
      <c r="AU14" s="6"/>
      <c r="BH14" s="6"/>
    </row>
    <row r="15" spans="1:60" x14ac:dyDescent="0.3">
      <c r="A15" s="5">
        <v>103847</v>
      </c>
      <c r="B15" s="6" t="s">
        <v>189</v>
      </c>
      <c r="C15" s="6" t="s">
        <v>48</v>
      </c>
      <c r="D15" s="6" t="s">
        <v>240</v>
      </c>
      <c r="E15" s="6">
        <v>2</v>
      </c>
      <c r="F15" s="6" t="s">
        <v>110</v>
      </c>
      <c r="G15" s="14">
        <f>43/2.2</f>
        <v>19.545454545454543</v>
      </c>
      <c r="H15" s="6">
        <f>82.5</f>
        <v>82.5</v>
      </c>
      <c r="I15" s="6">
        <f>98.1</f>
        <v>98.1</v>
      </c>
      <c r="J15" s="14">
        <f>(H15*100)/I15</f>
        <v>84.097859327217137</v>
      </c>
      <c r="K15" s="6" t="s">
        <v>101</v>
      </c>
      <c r="L15" s="6" t="s">
        <v>369</v>
      </c>
      <c r="M15" s="6">
        <f>0</f>
        <v>0</v>
      </c>
      <c r="N15" s="6" t="s">
        <v>369</v>
      </c>
      <c r="O15" s="6">
        <f>0</f>
        <v>0</v>
      </c>
      <c r="P15" s="13" t="s">
        <v>383</v>
      </c>
      <c r="Q15" s="6">
        <f>(0.42/7.2)</f>
        <v>5.8333333333333327E-2</v>
      </c>
      <c r="R15" s="13" t="s">
        <v>383</v>
      </c>
      <c r="S15" s="6">
        <f>(1.2/7.55)</f>
        <v>0.15894039735099338</v>
      </c>
      <c r="T15" s="6">
        <f>(4.08/2)</f>
        <v>2.04</v>
      </c>
      <c r="U15" s="6">
        <f>(6.61/2)</f>
        <v>3.3050000000000002</v>
      </c>
      <c r="V15" s="6">
        <f t="shared" si="1"/>
        <v>21.183992400000001</v>
      </c>
      <c r="W15" s="6">
        <f>(3.3/2)</f>
        <v>1.65</v>
      </c>
      <c r="X15" s="6">
        <f>(6.6/2)</f>
        <v>3.3</v>
      </c>
      <c r="Y15" s="6">
        <f t="shared" si="2"/>
        <v>17.108189999999997</v>
      </c>
      <c r="Z15" s="6">
        <f>(4.21/2)</f>
        <v>2.105</v>
      </c>
      <c r="AA15" s="6">
        <f>(7.21/2)</f>
        <v>3.605</v>
      </c>
      <c r="AB15" s="6">
        <f t="shared" si="5"/>
        <v>23.843145549999999</v>
      </c>
      <c r="AC15" s="6">
        <f>(3.3/2)</f>
        <v>1.65</v>
      </c>
      <c r="AD15" s="6">
        <f>(6.96/2)</f>
        <v>3.48</v>
      </c>
      <c r="AE15" s="6">
        <f t="shared" si="6"/>
        <v>18.041363999999998</v>
      </c>
      <c r="AF15" s="6">
        <f>13.2</f>
        <v>13.2</v>
      </c>
      <c r="AG15" s="6">
        <f>13.5</f>
        <v>13.5</v>
      </c>
      <c r="AU15" s="6"/>
      <c r="BH15" s="6"/>
    </row>
    <row r="16" spans="1:60" x14ac:dyDescent="0.3">
      <c r="A16" s="5">
        <v>104029</v>
      </c>
      <c r="B16" s="6" t="s">
        <v>196</v>
      </c>
      <c r="C16" s="6" t="s">
        <v>29</v>
      </c>
      <c r="D16" s="6" t="s">
        <v>171</v>
      </c>
      <c r="E16" s="6">
        <v>2</v>
      </c>
      <c r="F16" s="6" t="s">
        <v>109</v>
      </c>
      <c r="G16" s="14">
        <f>20.5/2.2</f>
        <v>9.3181818181818166</v>
      </c>
      <c r="H16" s="6">
        <f>84</f>
        <v>84</v>
      </c>
      <c r="I16" s="6">
        <f>72.6</f>
        <v>72.599999999999994</v>
      </c>
      <c r="J16" s="14">
        <f t="shared" ref="J16" si="12">(H16*100)/I16</f>
        <v>115.70247933884299</v>
      </c>
      <c r="K16" s="6" t="s">
        <v>101</v>
      </c>
      <c r="L16" s="8" t="s">
        <v>338</v>
      </c>
      <c r="M16" s="6">
        <f>(2.16/3.5)</f>
        <v>0.61714285714285722</v>
      </c>
      <c r="N16" s="8" t="s">
        <v>338</v>
      </c>
      <c r="O16" s="6">
        <f>(1.62/3.35)</f>
        <v>0.4835820895522388</v>
      </c>
      <c r="P16" s="12">
        <v>13</v>
      </c>
      <c r="Q16" s="6" t="s">
        <v>331</v>
      </c>
      <c r="R16" s="12">
        <v>13</v>
      </c>
      <c r="S16" s="6" t="s">
        <v>331</v>
      </c>
      <c r="T16" s="6">
        <f>(2.85/2)</f>
        <v>1.425</v>
      </c>
      <c r="U16" s="6">
        <f>(4.81/2)</f>
        <v>2.4049999999999998</v>
      </c>
      <c r="V16" s="6">
        <f t="shared" si="1"/>
        <v>10.768026749999999</v>
      </c>
      <c r="W16" s="6">
        <f>(2.95/2)</f>
        <v>1.4750000000000001</v>
      </c>
      <c r="X16" s="6">
        <f>(4.3/2)</f>
        <v>2.15</v>
      </c>
      <c r="Y16" s="6">
        <f t="shared" si="2"/>
        <v>9.9640675000000005</v>
      </c>
      <c r="Z16" s="6" t="s">
        <v>368</v>
      </c>
      <c r="AA16" s="6" t="s">
        <v>368</v>
      </c>
      <c r="AB16" s="6" t="s">
        <v>368</v>
      </c>
      <c r="AC16" s="6" t="s">
        <v>368</v>
      </c>
      <c r="AD16" s="6" t="s">
        <v>368</v>
      </c>
      <c r="AE16" s="6" t="s">
        <v>368</v>
      </c>
      <c r="AF16" s="6">
        <f>10.5</f>
        <v>10.5</v>
      </c>
      <c r="AG16" s="6">
        <f>10.2</f>
        <v>10.199999999999999</v>
      </c>
      <c r="AU16" s="6"/>
      <c r="BH16" s="6"/>
    </row>
    <row r="17" spans="1:60" x14ac:dyDescent="0.3">
      <c r="A17" s="5">
        <v>3216</v>
      </c>
      <c r="B17" s="6" t="s">
        <v>200</v>
      </c>
      <c r="C17" s="6" t="s">
        <v>61</v>
      </c>
      <c r="D17" s="6" t="s">
        <v>119</v>
      </c>
      <c r="E17" s="6">
        <v>7</v>
      </c>
      <c r="F17" s="6" t="s">
        <v>109</v>
      </c>
      <c r="G17" s="14">
        <f>71.1/2.2</f>
        <v>32.318181818181813</v>
      </c>
      <c r="H17" s="6">
        <f>81.9</f>
        <v>81.900000000000006</v>
      </c>
      <c r="I17" s="6">
        <f>109.5</f>
        <v>109.5</v>
      </c>
      <c r="J17" s="14">
        <f t="shared" ref="J17" si="13">(H17*100)/I17</f>
        <v>74.794520547945211</v>
      </c>
      <c r="K17" s="6" t="s">
        <v>101</v>
      </c>
      <c r="L17" s="8" t="s">
        <v>338</v>
      </c>
      <c r="M17" s="6">
        <f>(1.2/6)</f>
        <v>0.19999999999999998</v>
      </c>
      <c r="N17" s="8" t="s">
        <v>338</v>
      </c>
      <c r="O17" s="6">
        <f>(1.8/6.9)</f>
        <v>0.2608695652173913</v>
      </c>
      <c r="P17" s="13" t="s">
        <v>383</v>
      </c>
      <c r="Q17" s="6">
        <f>(1.5/7.2)</f>
        <v>0.20833333333333331</v>
      </c>
      <c r="R17" s="13" t="s">
        <v>383</v>
      </c>
      <c r="S17" s="6">
        <f>(1.2/8.1)</f>
        <v>0.14814814814814814</v>
      </c>
      <c r="T17" s="6">
        <f>(4.84/2)</f>
        <v>2.42</v>
      </c>
      <c r="U17" s="6">
        <f>(6.3/2)</f>
        <v>3.15</v>
      </c>
      <c r="V17" s="6">
        <f t="shared" si="1"/>
        <v>23.951465999999996</v>
      </c>
      <c r="W17" s="6">
        <f>(3.91/2)</f>
        <v>1.9550000000000001</v>
      </c>
      <c r="X17" s="6">
        <f>(6.6/2)</f>
        <v>3.3</v>
      </c>
      <c r="Y17" s="6">
        <f t="shared" si="2"/>
        <v>20.270613000000001</v>
      </c>
      <c r="Z17" s="6">
        <f>(4.84/2)</f>
        <v>2.42</v>
      </c>
      <c r="AA17" s="6">
        <f>(7.51/2)</f>
        <v>3.7549999999999999</v>
      </c>
      <c r="AB17" s="6">
        <f t="shared" ref="AB17:AB24" si="14">(Z17*AA17)*3.142</f>
        <v>28.551668199999998</v>
      </c>
      <c r="AC17" s="6">
        <f>(4.2/2)</f>
        <v>2.1</v>
      </c>
      <c r="AD17" s="6">
        <f>(8.11/2)</f>
        <v>4.0549999999999997</v>
      </c>
      <c r="AE17" s="6">
        <f t="shared" ref="AE17:AE24" si="15">(AC17*AD17)*3.142</f>
        <v>26.755700999999998</v>
      </c>
      <c r="AF17" s="6">
        <f>13.5</f>
        <v>13.5</v>
      </c>
      <c r="AG17" s="6">
        <f>12.9</f>
        <v>12.9</v>
      </c>
      <c r="AU17" s="6"/>
      <c r="BH17" s="6"/>
    </row>
    <row r="18" spans="1:60" x14ac:dyDescent="0.3">
      <c r="A18" s="5">
        <v>3215</v>
      </c>
      <c r="B18" s="6" t="s">
        <v>274</v>
      </c>
      <c r="C18" s="6" t="s">
        <v>61</v>
      </c>
      <c r="D18" s="6" t="s">
        <v>119</v>
      </c>
      <c r="E18" s="6">
        <v>12</v>
      </c>
      <c r="F18" s="6" t="s">
        <v>110</v>
      </c>
      <c r="G18" s="14">
        <f>55.3/2.2</f>
        <v>25.136363636363633</v>
      </c>
      <c r="H18" s="6">
        <f>86.7</f>
        <v>86.7</v>
      </c>
      <c r="I18" s="6">
        <f>102.6</f>
        <v>102.6</v>
      </c>
      <c r="J18" s="14">
        <f t="shared" ref="J18" si="16">(H18*100)/I18</f>
        <v>84.502923976608187</v>
      </c>
      <c r="K18" s="6" t="s">
        <v>101</v>
      </c>
      <c r="L18" s="6">
        <v>2</v>
      </c>
      <c r="M18" s="6">
        <f>0</f>
        <v>0</v>
      </c>
      <c r="N18" s="6">
        <v>2</v>
      </c>
      <c r="O18" s="6">
        <f>0</f>
        <v>0</v>
      </c>
      <c r="P18" s="13" t="s">
        <v>383</v>
      </c>
      <c r="Q18" s="6">
        <f>(1.2/6.6)</f>
        <v>0.18181818181818182</v>
      </c>
      <c r="R18" s="13" t="s">
        <v>383</v>
      </c>
      <c r="S18" s="6">
        <f>(1.24/7.5)</f>
        <v>0.16533333333333333</v>
      </c>
      <c r="T18" s="6">
        <f>(3.6/2)</f>
        <v>1.8</v>
      </c>
      <c r="U18" s="6">
        <f>(7.51/2)</f>
        <v>3.7549999999999999</v>
      </c>
      <c r="V18" s="6">
        <f t="shared" si="1"/>
        <v>21.236778000000001</v>
      </c>
      <c r="W18" s="6">
        <f>(3/2)</f>
        <v>1.5</v>
      </c>
      <c r="X18" s="6">
        <f>(6.6/2)</f>
        <v>3.3</v>
      </c>
      <c r="Y18" s="6">
        <f t="shared" si="2"/>
        <v>15.552899999999998</v>
      </c>
      <c r="Z18" s="6">
        <f>(4.51/2)</f>
        <v>2.2549999999999999</v>
      </c>
      <c r="AA18" s="6">
        <f>(6.6/2)</f>
        <v>3.3</v>
      </c>
      <c r="AB18" s="6">
        <f t="shared" si="14"/>
        <v>23.381193</v>
      </c>
      <c r="AC18" s="6">
        <f>(5.32/2)</f>
        <v>2.66</v>
      </c>
      <c r="AD18" s="6">
        <f>(7.5/2)</f>
        <v>3.75</v>
      </c>
      <c r="AE18" s="6">
        <f t="shared" si="15"/>
        <v>31.341450000000002</v>
      </c>
      <c r="AF18" s="6">
        <f>15</f>
        <v>15</v>
      </c>
      <c r="AG18" s="6">
        <f>14.1</f>
        <v>14.1</v>
      </c>
      <c r="AU18" s="6"/>
      <c r="BH18" s="6"/>
    </row>
    <row r="19" spans="1:60" x14ac:dyDescent="0.3">
      <c r="A19" s="5">
        <v>104084</v>
      </c>
      <c r="B19" s="6" t="s">
        <v>202</v>
      </c>
      <c r="C19" s="6" t="s">
        <v>63</v>
      </c>
      <c r="D19" s="6" t="s">
        <v>243</v>
      </c>
      <c r="E19" s="6">
        <v>10</v>
      </c>
      <c r="F19" s="6" t="s">
        <v>109</v>
      </c>
      <c r="G19" s="14">
        <f>63.7/2.2</f>
        <v>28.954545454545453</v>
      </c>
      <c r="H19" s="6">
        <f>83.1</f>
        <v>83.1</v>
      </c>
      <c r="I19" s="6">
        <f>111</f>
        <v>111</v>
      </c>
      <c r="J19" s="14">
        <f>(H19*100)/I19</f>
        <v>74.86486486486487</v>
      </c>
      <c r="K19" s="6" t="s">
        <v>101</v>
      </c>
      <c r="L19" s="6" t="s">
        <v>369</v>
      </c>
      <c r="M19" s="6">
        <f>0</f>
        <v>0</v>
      </c>
      <c r="N19" s="6" t="s">
        <v>369</v>
      </c>
      <c r="O19" s="6">
        <f>0</f>
        <v>0</v>
      </c>
      <c r="P19" s="6">
        <v>9</v>
      </c>
      <c r="Q19" s="6">
        <f>0</f>
        <v>0</v>
      </c>
      <c r="R19" s="6">
        <v>9</v>
      </c>
      <c r="S19" s="6">
        <f>0</f>
        <v>0</v>
      </c>
      <c r="T19" s="6">
        <f>(4.84/2)</f>
        <v>2.42</v>
      </c>
      <c r="U19" s="6">
        <f>(6.48/2)</f>
        <v>3.24</v>
      </c>
      <c r="V19" s="6">
        <f t="shared" si="1"/>
        <v>24.635793600000003</v>
      </c>
      <c r="W19" s="6">
        <f>(4.5/2)</f>
        <v>2.25</v>
      </c>
      <c r="X19" s="6">
        <f>(6.01/2)</f>
        <v>3.0049999999999999</v>
      </c>
      <c r="Y19" s="6">
        <f t="shared" si="2"/>
        <v>21.243847499999998</v>
      </c>
      <c r="Z19" s="6">
        <f>(4.2/2)</f>
        <v>2.1</v>
      </c>
      <c r="AA19" s="6">
        <f>(7.2/2)</f>
        <v>3.6</v>
      </c>
      <c r="AB19" s="6">
        <f t="shared" si="14"/>
        <v>23.753520000000002</v>
      </c>
      <c r="AC19" s="6">
        <f>(4.51/2)</f>
        <v>2.2549999999999999</v>
      </c>
      <c r="AD19" s="6">
        <f>(7/2)</f>
        <v>3.5</v>
      </c>
      <c r="AE19" s="6">
        <f t="shared" si="15"/>
        <v>24.798234999999998</v>
      </c>
      <c r="AF19" s="6">
        <f>16.2</f>
        <v>16.2</v>
      </c>
      <c r="AG19" s="6">
        <f>16.5</f>
        <v>16.5</v>
      </c>
      <c r="AU19" s="6"/>
      <c r="BH19" s="6"/>
    </row>
    <row r="20" spans="1:60" x14ac:dyDescent="0.3">
      <c r="A20" s="5">
        <v>3011</v>
      </c>
      <c r="B20" s="6" t="s">
        <v>206</v>
      </c>
      <c r="C20" s="6" t="s">
        <v>66</v>
      </c>
      <c r="D20" s="6" t="s">
        <v>244</v>
      </c>
      <c r="E20" s="6">
        <v>3</v>
      </c>
      <c r="F20" s="6" t="s">
        <v>109</v>
      </c>
      <c r="G20" s="14">
        <f>106.9/2.2</f>
        <v>48.590909090909086</v>
      </c>
      <c r="H20" s="6">
        <f>99</f>
        <v>99</v>
      </c>
      <c r="I20" s="6">
        <f>104.4</f>
        <v>104.4</v>
      </c>
      <c r="J20" s="14">
        <f>(H20*100)/I20</f>
        <v>94.827586206896541</v>
      </c>
      <c r="K20" s="6" t="s">
        <v>101</v>
      </c>
      <c r="L20" s="6">
        <v>2</v>
      </c>
      <c r="M20" s="6">
        <f>0</f>
        <v>0</v>
      </c>
      <c r="N20" s="6">
        <v>2</v>
      </c>
      <c r="O20" s="6">
        <f>0</f>
        <v>0</v>
      </c>
      <c r="P20" s="6">
        <v>9</v>
      </c>
      <c r="Q20" s="6">
        <f>0</f>
        <v>0</v>
      </c>
      <c r="R20" s="6">
        <v>9</v>
      </c>
      <c r="S20" s="6">
        <f>0</f>
        <v>0</v>
      </c>
      <c r="T20" s="6">
        <f>(3.9/2)</f>
        <v>1.95</v>
      </c>
      <c r="U20" s="6">
        <f>(8.19/2)</f>
        <v>4.0949999999999998</v>
      </c>
      <c r="V20" s="6">
        <f t="shared" si="1"/>
        <v>25.089655499999999</v>
      </c>
      <c r="W20" s="6">
        <f>(3.6/2)</f>
        <v>1.8</v>
      </c>
      <c r="X20" s="6">
        <f>(7.22/2)</f>
        <v>3.61</v>
      </c>
      <c r="Y20" s="6">
        <f t="shared" si="2"/>
        <v>20.416716000000001</v>
      </c>
      <c r="Z20" s="6">
        <f>(4.21/2)</f>
        <v>2.105</v>
      </c>
      <c r="AA20" s="6">
        <f>(7.51/2)</f>
        <v>3.7549999999999999</v>
      </c>
      <c r="AB20" s="6">
        <f t="shared" si="14"/>
        <v>24.835232049999998</v>
      </c>
      <c r="AC20" s="6">
        <f>(4.4/2)</f>
        <v>2.2000000000000002</v>
      </c>
      <c r="AD20" s="6">
        <f>(8/2)</f>
        <v>4</v>
      </c>
      <c r="AE20" s="6">
        <f t="shared" si="15"/>
        <v>27.649600000000003</v>
      </c>
      <c r="AF20" s="6">
        <f>15.6</f>
        <v>15.6</v>
      </c>
      <c r="AG20" s="6">
        <f>15</f>
        <v>15</v>
      </c>
      <c r="AU20" s="6"/>
      <c r="BH20" s="6"/>
    </row>
    <row r="21" spans="1:60" x14ac:dyDescent="0.3">
      <c r="A21" s="5">
        <v>104155</v>
      </c>
      <c r="B21" s="6" t="s">
        <v>213</v>
      </c>
      <c r="C21" s="6" t="s">
        <v>74</v>
      </c>
      <c r="D21" s="6" t="s">
        <v>247</v>
      </c>
      <c r="E21" s="6">
        <v>9</v>
      </c>
      <c r="F21" s="6" t="s">
        <v>110</v>
      </c>
      <c r="G21" s="14">
        <f>18/2.2</f>
        <v>8.1818181818181817</v>
      </c>
      <c r="H21" s="6">
        <f>78.9</f>
        <v>78.900000000000006</v>
      </c>
      <c r="I21" s="6">
        <f>83.7</f>
        <v>83.7</v>
      </c>
      <c r="J21" s="14">
        <f t="shared" ref="J21" si="17">(H21*100)/I21</f>
        <v>94.265232974910404</v>
      </c>
      <c r="K21" s="6" t="s">
        <v>101</v>
      </c>
      <c r="L21" s="6">
        <v>2</v>
      </c>
      <c r="M21" s="6">
        <f>0</f>
        <v>0</v>
      </c>
      <c r="N21" s="6" t="s">
        <v>369</v>
      </c>
      <c r="O21" s="6">
        <f>0</f>
        <v>0</v>
      </c>
      <c r="P21" s="6">
        <v>9</v>
      </c>
      <c r="Q21" s="6">
        <f>0</f>
        <v>0</v>
      </c>
      <c r="R21" s="6">
        <v>9</v>
      </c>
      <c r="S21" s="6">
        <f>0</f>
        <v>0</v>
      </c>
      <c r="T21" s="6">
        <f>(3.31/2)</f>
        <v>1.655</v>
      </c>
      <c r="U21" s="6">
        <f>(4.84/2)</f>
        <v>2.42</v>
      </c>
      <c r="V21" s="6">
        <f t="shared" si="1"/>
        <v>12.584024199999998</v>
      </c>
      <c r="W21" s="6">
        <f>(3.31/2)</f>
        <v>1.655</v>
      </c>
      <c r="X21" s="6">
        <f>(4.2/2)</f>
        <v>2.1</v>
      </c>
      <c r="Y21" s="6">
        <f t="shared" si="2"/>
        <v>10.920021</v>
      </c>
      <c r="Z21" s="6">
        <f>(3.3/2)</f>
        <v>1.65</v>
      </c>
      <c r="AA21" s="6">
        <f>(5.71/2)</f>
        <v>2.855</v>
      </c>
      <c r="AB21" s="6">
        <f t="shared" si="14"/>
        <v>14.8011765</v>
      </c>
      <c r="AC21" s="6">
        <f>(3.31/2)</f>
        <v>1.655</v>
      </c>
      <c r="AD21" s="6">
        <f>(5.47/2)</f>
        <v>2.7349999999999999</v>
      </c>
      <c r="AE21" s="6">
        <f t="shared" si="15"/>
        <v>14.222027349999999</v>
      </c>
      <c r="AF21" s="6">
        <f>11.1</f>
        <v>11.1</v>
      </c>
      <c r="AG21" s="6">
        <f>12.3</f>
        <v>12.3</v>
      </c>
      <c r="AU21" s="6"/>
      <c r="BH21" s="6"/>
    </row>
    <row r="22" spans="1:60" x14ac:dyDescent="0.3">
      <c r="A22" s="5">
        <v>104169</v>
      </c>
      <c r="B22" s="6" t="s">
        <v>215</v>
      </c>
      <c r="C22" s="6" t="s">
        <v>37</v>
      </c>
      <c r="D22" s="6" t="s">
        <v>233</v>
      </c>
      <c r="E22" s="6">
        <v>6</v>
      </c>
      <c r="F22" s="6" t="s">
        <v>110</v>
      </c>
      <c r="G22" s="14">
        <f>55.7/2.2</f>
        <v>25.318181818181817</v>
      </c>
      <c r="H22" s="6">
        <f>91.8</f>
        <v>91.8</v>
      </c>
      <c r="I22" s="6">
        <f>95.4</f>
        <v>95.4</v>
      </c>
      <c r="J22" s="14">
        <f t="shared" ref="J22" si="18">(H22*100)/I22</f>
        <v>96.226415094339615</v>
      </c>
      <c r="K22" s="6" t="s">
        <v>101</v>
      </c>
      <c r="L22" s="8" t="s">
        <v>338</v>
      </c>
      <c r="M22" s="6">
        <f>(2.85/7.06)</f>
        <v>0.40368271954674223</v>
      </c>
      <c r="N22" s="8" t="s">
        <v>338</v>
      </c>
      <c r="O22" s="6">
        <f>(3.06/7.79)</f>
        <v>0.39281129653401797</v>
      </c>
      <c r="P22" s="6">
        <v>9</v>
      </c>
      <c r="Q22" s="6">
        <f>0</f>
        <v>0</v>
      </c>
      <c r="R22" s="13" t="s">
        <v>383</v>
      </c>
      <c r="S22" s="6">
        <f>(0.9/8.4)</f>
        <v>0.10714285714285714</v>
      </c>
      <c r="T22" s="6">
        <f>(5.4/2)</f>
        <v>2.7</v>
      </c>
      <c r="U22" s="6">
        <f>(7.06/2)</f>
        <v>3.53</v>
      </c>
      <c r="V22" s="6">
        <f t="shared" si="1"/>
        <v>29.946402000000003</v>
      </c>
      <c r="W22" s="6">
        <f>(5.11/2)</f>
        <v>2.5550000000000002</v>
      </c>
      <c r="X22" s="6">
        <f>(7.79/2)</f>
        <v>3.895</v>
      </c>
      <c r="Y22" s="6">
        <f t="shared" si="2"/>
        <v>31.268319950000002</v>
      </c>
      <c r="Z22" s="6">
        <f>(4.8/2)</f>
        <v>2.4</v>
      </c>
      <c r="AA22" s="6">
        <f>(7.8/2)</f>
        <v>3.9</v>
      </c>
      <c r="AB22" s="6">
        <f t="shared" si="14"/>
        <v>29.409119999999998</v>
      </c>
      <c r="AC22" s="6">
        <f>(4.88/2)</f>
        <v>2.44</v>
      </c>
      <c r="AD22" s="6">
        <f>(8.4/2)</f>
        <v>4.2</v>
      </c>
      <c r="AE22" s="6">
        <f t="shared" si="15"/>
        <v>32.199216</v>
      </c>
      <c r="AF22" s="6">
        <f>18.3</f>
        <v>18.3</v>
      </c>
      <c r="AG22" s="6">
        <f>18</f>
        <v>18</v>
      </c>
      <c r="AU22" s="6"/>
      <c r="BH22" s="6"/>
    </row>
    <row r="23" spans="1:60" x14ac:dyDescent="0.3">
      <c r="A23" s="5">
        <v>104173</v>
      </c>
      <c r="B23" s="6" t="s">
        <v>219</v>
      </c>
      <c r="C23" s="6" t="s">
        <v>80</v>
      </c>
      <c r="D23" s="6" t="s">
        <v>233</v>
      </c>
      <c r="E23" s="6">
        <v>1</v>
      </c>
      <c r="F23" s="6" t="s">
        <v>110</v>
      </c>
      <c r="G23" s="14">
        <f>46.64/2.2</f>
        <v>21.2</v>
      </c>
      <c r="H23" s="6">
        <f>87.3</f>
        <v>87.3</v>
      </c>
      <c r="I23" s="6">
        <f>92.71</f>
        <v>92.71</v>
      </c>
      <c r="J23" s="14">
        <f>(H23*100)/I23</f>
        <v>94.164599288102693</v>
      </c>
      <c r="K23" s="6" t="s">
        <v>101</v>
      </c>
      <c r="L23" s="8" t="s">
        <v>338</v>
      </c>
      <c r="M23" s="6">
        <f>(3.01/8.42)</f>
        <v>0.35748218527315911</v>
      </c>
      <c r="N23" s="8" t="s">
        <v>370</v>
      </c>
      <c r="O23" s="6">
        <f>(5.41/9.3)</f>
        <v>0.58172043010752683</v>
      </c>
      <c r="P23" s="13" t="s">
        <v>383</v>
      </c>
      <c r="Q23" s="6">
        <f>(4.54/8.75)</f>
        <v>0.51885714285714291</v>
      </c>
      <c r="R23" s="13" t="s">
        <v>383</v>
      </c>
      <c r="S23" s="6">
        <f>(5.1/9.6)</f>
        <v>0.53125</v>
      </c>
      <c r="T23" s="6">
        <f>(4.57/2)</f>
        <v>2.2850000000000001</v>
      </c>
      <c r="U23" s="6">
        <f>(8.42/2)</f>
        <v>4.21</v>
      </c>
      <c r="V23" s="6">
        <f t="shared" si="1"/>
        <v>30.225568700000004</v>
      </c>
      <c r="W23" s="6">
        <f>(3.65/2)</f>
        <v>1.825</v>
      </c>
      <c r="X23" s="6">
        <f>(9.3/2)</f>
        <v>4.6500000000000004</v>
      </c>
      <c r="Y23" s="6">
        <f t="shared" si="2"/>
        <v>26.663797500000001</v>
      </c>
      <c r="Z23" s="6">
        <f>(5.41/2)</f>
        <v>2.7050000000000001</v>
      </c>
      <c r="AA23" s="6">
        <f>(8.75/2)</f>
        <v>4.375</v>
      </c>
      <c r="AB23" s="6">
        <f t="shared" si="14"/>
        <v>37.183606249999997</v>
      </c>
      <c r="AC23" s="6">
        <f>(5.4/2)</f>
        <v>2.7</v>
      </c>
      <c r="AD23" s="6">
        <f>(9.6/2)</f>
        <v>4.8</v>
      </c>
      <c r="AE23" s="6">
        <f t="shared" si="15"/>
        <v>40.720320000000001</v>
      </c>
      <c r="AF23" s="6">
        <f>14.6</f>
        <v>14.6</v>
      </c>
      <c r="AG23" s="6">
        <f>13.8</f>
        <v>13.8</v>
      </c>
      <c r="AU23" s="6"/>
      <c r="BH23" s="6"/>
    </row>
    <row r="24" spans="1:60" x14ac:dyDescent="0.3">
      <c r="A24" s="5">
        <v>104150</v>
      </c>
      <c r="B24" s="6" t="s">
        <v>220</v>
      </c>
      <c r="C24" s="6" t="s">
        <v>81</v>
      </c>
      <c r="D24" s="6" t="s">
        <v>171</v>
      </c>
      <c r="E24" s="6">
        <v>7</v>
      </c>
      <c r="F24" s="6" t="s">
        <v>109</v>
      </c>
      <c r="G24" s="14">
        <f>17.19/2.2</f>
        <v>7.8136363636363635</v>
      </c>
      <c r="H24" s="6">
        <f>68.4</f>
        <v>68.400000000000006</v>
      </c>
      <c r="I24" s="6">
        <f>74.1</f>
        <v>74.099999999999994</v>
      </c>
      <c r="J24" s="14">
        <f>(H24*100)/I24</f>
        <v>92.307692307692321</v>
      </c>
      <c r="K24" s="6" t="s">
        <v>101</v>
      </c>
      <c r="L24" s="8" t="s">
        <v>338</v>
      </c>
      <c r="M24" s="6">
        <f>(2.4/4.51)</f>
        <v>0.53215077605321504</v>
      </c>
      <c r="N24" s="8" t="s">
        <v>338</v>
      </c>
      <c r="O24" s="6">
        <f>(2.77/4.51)</f>
        <v>0.61419068736141913</v>
      </c>
      <c r="P24" s="13" t="s">
        <v>383</v>
      </c>
      <c r="Q24" s="6">
        <f>(2.7/6.31)</f>
        <v>0.42789223454833603</v>
      </c>
      <c r="R24" s="13" t="s">
        <v>383</v>
      </c>
      <c r="S24" s="6">
        <f>(3.3/6.31)</f>
        <v>0.52297939778129954</v>
      </c>
      <c r="T24" s="6">
        <f>(2.85/2)</f>
        <v>1.425</v>
      </c>
      <c r="U24" s="6">
        <f>(4.51/2)</f>
        <v>2.2549999999999999</v>
      </c>
      <c r="V24" s="6">
        <f t="shared" si="1"/>
        <v>10.09642425</v>
      </c>
      <c r="W24" s="6">
        <f>(2.4/2)</f>
        <v>1.2</v>
      </c>
      <c r="X24" s="6">
        <f>(4.51/2)</f>
        <v>2.2549999999999999</v>
      </c>
      <c r="Y24" s="6">
        <f t="shared" si="2"/>
        <v>8.5022520000000004</v>
      </c>
      <c r="Z24" s="6">
        <f>(3.31/2)</f>
        <v>1.655</v>
      </c>
      <c r="AA24" s="6">
        <f>(6.31/2)</f>
        <v>3.1549999999999998</v>
      </c>
      <c r="AB24" s="6">
        <f t="shared" si="14"/>
        <v>16.406031549999998</v>
      </c>
      <c r="AC24" s="6">
        <f>(3.31/2)</f>
        <v>1.655</v>
      </c>
      <c r="AD24" s="6">
        <f>(6.31/2)</f>
        <v>3.1549999999999998</v>
      </c>
      <c r="AE24" s="6">
        <f t="shared" si="15"/>
        <v>16.406031549999998</v>
      </c>
      <c r="AF24" s="6">
        <f>11.8</f>
        <v>11.8</v>
      </c>
      <c r="AG24" s="6">
        <f>11.5</f>
        <v>11.5</v>
      </c>
      <c r="AU24" s="6"/>
      <c r="BH24" s="6"/>
    </row>
    <row r="25" spans="1:60" x14ac:dyDescent="0.3">
      <c r="A25" s="5">
        <v>104106</v>
      </c>
      <c r="B25" s="6" t="s">
        <v>226</v>
      </c>
      <c r="C25" s="6" t="s">
        <v>78</v>
      </c>
      <c r="D25" s="6" t="s">
        <v>171</v>
      </c>
      <c r="E25" s="6">
        <v>14</v>
      </c>
      <c r="F25" s="6" t="s">
        <v>109</v>
      </c>
      <c r="G25" s="14">
        <f>13.53/2.2</f>
        <v>6.1499999999999995</v>
      </c>
      <c r="H25" s="6">
        <f>69.6</f>
        <v>69.599999999999994</v>
      </c>
      <c r="I25" s="6">
        <f>69.91</f>
        <v>69.91</v>
      </c>
      <c r="J25" s="14">
        <f t="shared" ref="J25" si="19">(H25*100)/I25</f>
        <v>99.55657273637533</v>
      </c>
      <c r="K25" s="6" t="s">
        <v>101</v>
      </c>
      <c r="L25" s="8" t="s">
        <v>338</v>
      </c>
      <c r="M25" s="6">
        <f>(3.13/4.08)</f>
        <v>0.76715686274509798</v>
      </c>
      <c r="N25" s="8" t="s">
        <v>338</v>
      </c>
      <c r="O25" s="6">
        <f>(2.42/3.5)</f>
        <v>0.69142857142857139</v>
      </c>
      <c r="P25" s="12">
        <v>13</v>
      </c>
      <c r="Q25" s="6" t="s">
        <v>331</v>
      </c>
      <c r="R25" s="12">
        <v>13</v>
      </c>
      <c r="S25" s="6" t="s">
        <v>331</v>
      </c>
      <c r="T25" s="6">
        <f>(2.72/2)</f>
        <v>1.36</v>
      </c>
      <c r="U25" s="6">
        <f>(4.8/2)</f>
        <v>2.4</v>
      </c>
      <c r="V25" s="6">
        <f t="shared" si="1"/>
        <v>10.255488</v>
      </c>
      <c r="W25" s="6">
        <f>(2.7/2)</f>
        <v>1.35</v>
      </c>
      <c r="X25" s="6">
        <f>(4.51/2)</f>
        <v>2.2549999999999999</v>
      </c>
      <c r="Y25" s="6">
        <f t="shared" si="2"/>
        <v>9.5650335000000002</v>
      </c>
      <c r="Z25" s="6" t="s">
        <v>368</v>
      </c>
      <c r="AA25" s="6" t="s">
        <v>368</v>
      </c>
      <c r="AB25" s="6" t="s">
        <v>368</v>
      </c>
      <c r="AC25" s="6" t="s">
        <v>368</v>
      </c>
      <c r="AD25" s="6" t="s">
        <v>368</v>
      </c>
      <c r="AE25" s="6" t="s">
        <v>368</v>
      </c>
      <c r="AF25" s="6">
        <f>9.9</f>
        <v>9.9</v>
      </c>
      <c r="AG25" s="6">
        <f>9.9</f>
        <v>9.9</v>
      </c>
      <c r="AU25" s="6"/>
      <c r="BH25" s="6"/>
    </row>
    <row r="26" spans="1:60" x14ac:dyDescent="0.3">
      <c r="A26" s="5">
        <v>104271</v>
      </c>
      <c r="B26" s="6" t="s">
        <v>175</v>
      </c>
      <c r="C26" s="6" t="s">
        <v>90</v>
      </c>
      <c r="D26" s="6" t="s">
        <v>116</v>
      </c>
      <c r="E26" s="6">
        <v>7</v>
      </c>
      <c r="F26" s="6" t="s">
        <v>97</v>
      </c>
      <c r="G26" s="14">
        <f>65.47/2.2</f>
        <v>29.759090909090908</v>
      </c>
      <c r="H26" s="6">
        <f>94.8</f>
        <v>94.8</v>
      </c>
      <c r="I26" s="6">
        <f>103.53</f>
        <v>103.53</v>
      </c>
      <c r="J26" s="14">
        <f t="shared" ref="J26:J39" si="20">(H26*100)/I26</f>
        <v>91.567661547377568</v>
      </c>
      <c r="K26" s="6" t="s">
        <v>101</v>
      </c>
      <c r="L26" s="6" t="s">
        <v>369</v>
      </c>
      <c r="M26" s="6">
        <f>0</f>
        <v>0</v>
      </c>
      <c r="N26" s="6" t="s">
        <v>369</v>
      </c>
      <c r="O26" s="6">
        <f>0</f>
        <v>0</v>
      </c>
      <c r="P26" s="13" t="s">
        <v>383</v>
      </c>
      <c r="Q26" s="6">
        <f>(0.3/6.3)</f>
        <v>4.7619047619047616E-2</v>
      </c>
      <c r="R26" s="13" t="s">
        <v>383</v>
      </c>
      <c r="S26" s="6">
        <f>(1.5/6.46)</f>
        <v>0.23219814241486067</v>
      </c>
      <c r="T26" s="6">
        <f>(2.72/2)</f>
        <v>1.36</v>
      </c>
      <c r="U26" s="6">
        <f>(6.33/2)</f>
        <v>3.165</v>
      </c>
      <c r="V26" s="6">
        <f t="shared" si="1"/>
        <v>13.5244248</v>
      </c>
      <c r="W26" s="6">
        <f>(3.31/2)</f>
        <v>1.655</v>
      </c>
      <c r="X26" s="6">
        <f>(5.77/2)</f>
        <v>2.8849999999999998</v>
      </c>
      <c r="Y26" s="6">
        <f t="shared" si="2"/>
        <v>15.002028849999997</v>
      </c>
      <c r="Z26" s="6">
        <f>(3.6/2)</f>
        <v>1.8</v>
      </c>
      <c r="AA26" s="6">
        <f>(5.71/2)</f>
        <v>2.855</v>
      </c>
      <c r="AB26" s="6">
        <f>(Z26*AA26)*3.142</f>
        <v>16.146737999999999</v>
      </c>
      <c r="AC26" s="6">
        <f>(3.3/2)</f>
        <v>1.65</v>
      </c>
      <c r="AD26" s="6">
        <f>(6.31/2)</f>
        <v>3.1549999999999998</v>
      </c>
      <c r="AE26" s="6">
        <f>(AC26*AD26)*3.142</f>
        <v>16.356466499999996</v>
      </c>
      <c r="AF26" s="6">
        <f>13.6</f>
        <v>13.6</v>
      </c>
      <c r="AG26" s="6">
        <f>12.7</f>
        <v>12.7</v>
      </c>
      <c r="AU26" s="6"/>
      <c r="BH26" s="6"/>
    </row>
    <row r="27" spans="1:60" x14ac:dyDescent="0.3">
      <c r="A27" s="10">
        <v>104824</v>
      </c>
      <c r="B27" s="6" t="s">
        <v>313</v>
      </c>
      <c r="C27" s="6" t="s">
        <v>314</v>
      </c>
      <c r="D27" s="6" t="s">
        <v>315</v>
      </c>
      <c r="E27" s="6">
        <v>5</v>
      </c>
      <c r="F27" s="6" t="s">
        <v>109</v>
      </c>
      <c r="G27" s="14">
        <f>56.2/2.2</f>
        <v>25.545454545454543</v>
      </c>
      <c r="H27" s="6">
        <f>105</f>
        <v>105</v>
      </c>
      <c r="I27" s="6">
        <f>114</f>
        <v>114</v>
      </c>
      <c r="J27" s="14">
        <f t="shared" si="20"/>
        <v>92.10526315789474</v>
      </c>
      <c r="K27" s="6" t="s">
        <v>101</v>
      </c>
      <c r="L27" s="6" t="s">
        <v>369</v>
      </c>
      <c r="M27" s="6">
        <f>0</f>
        <v>0</v>
      </c>
      <c r="N27" s="6" t="s">
        <v>369</v>
      </c>
      <c r="O27" s="6">
        <f>0</f>
        <v>0</v>
      </c>
      <c r="P27" s="13" t="s">
        <v>382</v>
      </c>
      <c r="Q27" s="6">
        <f>(2.4/9.2)</f>
        <v>0.2608695652173913</v>
      </c>
      <c r="R27" s="13" t="s">
        <v>382</v>
      </c>
      <c r="S27" s="6">
        <f>(2/8.84)</f>
        <v>0.22624434389140272</v>
      </c>
      <c r="T27" s="6">
        <f>(3.79/2)</f>
        <v>1.895</v>
      </c>
      <c r="U27" s="6">
        <f>(7.97/2)</f>
        <v>3.9849999999999999</v>
      </c>
      <c r="V27" s="6">
        <f t="shared" si="1"/>
        <v>23.727048649999997</v>
      </c>
      <c r="W27" s="6">
        <f>(3.79/2)</f>
        <v>1.895</v>
      </c>
      <c r="X27" s="6">
        <f>(7.88/2)</f>
        <v>3.94</v>
      </c>
      <c r="Y27" s="6">
        <f t="shared" si="2"/>
        <v>23.459114599999999</v>
      </c>
      <c r="Z27" s="6">
        <f>(4.8/2)</f>
        <v>2.4</v>
      </c>
      <c r="AA27" s="6">
        <f>(9.6/2)</f>
        <v>4.8</v>
      </c>
      <c r="AB27" s="6">
        <f>(Z27*AA27)*3.142</f>
        <v>36.195839999999997</v>
      </c>
      <c r="AC27" s="6">
        <f>(4.8/2)</f>
        <v>2.4</v>
      </c>
      <c r="AD27" s="6">
        <f>(9.6/2)</f>
        <v>4.8</v>
      </c>
      <c r="AE27" s="6">
        <f>(AC27*AD27)*3.142</f>
        <v>36.195839999999997</v>
      </c>
      <c r="AF27" s="6">
        <f>18</f>
        <v>18</v>
      </c>
      <c r="AG27" s="6">
        <f>18</f>
        <v>18</v>
      </c>
      <c r="AU27" s="6"/>
      <c r="BH27" s="6"/>
    </row>
    <row r="28" spans="1:60" x14ac:dyDescent="0.3">
      <c r="A28" s="5">
        <v>104283</v>
      </c>
      <c r="B28" s="6" t="s">
        <v>168</v>
      </c>
      <c r="C28" s="6" t="s">
        <v>92</v>
      </c>
      <c r="D28" s="6" t="s">
        <v>119</v>
      </c>
      <c r="E28" s="6">
        <v>8</v>
      </c>
      <c r="F28" s="6" t="s">
        <v>109</v>
      </c>
      <c r="G28" s="14">
        <f>66.9/2.2</f>
        <v>30.40909090909091</v>
      </c>
      <c r="H28" s="6">
        <f>79.5</f>
        <v>79.5</v>
      </c>
      <c r="I28" s="6">
        <f>108</f>
        <v>108</v>
      </c>
      <c r="J28" s="14">
        <f t="shared" si="20"/>
        <v>73.611111111111114</v>
      </c>
      <c r="K28" s="6" t="s">
        <v>101</v>
      </c>
      <c r="L28" s="6" t="s">
        <v>369</v>
      </c>
      <c r="M28" s="6">
        <f>0</f>
        <v>0</v>
      </c>
      <c r="N28" s="6">
        <v>1</v>
      </c>
      <c r="O28" s="6">
        <f>0</f>
        <v>0</v>
      </c>
      <c r="P28" s="13" t="s">
        <v>383</v>
      </c>
      <c r="Q28" s="6">
        <f>(3.42/7.87)</f>
        <v>0.43456162642947904</v>
      </c>
      <c r="R28" s="13" t="s">
        <v>383</v>
      </c>
      <c r="S28" s="6">
        <f>(3.3/7.22)</f>
        <v>0.45706371191135731</v>
      </c>
      <c r="T28" s="6">
        <f>(2.28/2)</f>
        <v>1.1399999999999999</v>
      </c>
      <c r="U28" s="6">
        <f>(7.69/2)</f>
        <v>3.8450000000000002</v>
      </c>
      <c r="V28" s="6">
        <f t="shared" si="1"/>
        <v>13.7723286</v>
      </c>
      <c r="W28" s="6">
        <f>(3.31/2)</f>
        <v>1.655</v>
      </c>
      <c r="X28" s="6">
        <f>(6.33/2)</f>
        <v>3.165</v>
      </c>
      <c r="Y28" s="6">
        <f t="shared" si="2"/>
        <v>16.458031649999999</v>
      </c>
      <c r="Z28" s="6">
        <f>(3.51/2)</f>
        <v>1.7549999999999999</v>
      </c>
      <c r="AA28" s="6">
        <f>(7.5/2)</f>
        <v>3.75</v>
      </c>
      <c r="AB28" s="6">
        <f>(Z28*AA28)*3.142</f>
        <v>20.6782875</v>
      </c>
      <c r="AC28" s="6">
        <f>(3.35/2)</f>
        <v>1.675</v>
      </c>
      <c r="AD28" s="6">
        <f>(8.19/2)</f>
        <v>4.0949999999999998</v>
      </c>
      <c r="AE28" s="6">
        <f>(AC28*AD28)*3.142</f>
        <v>21.551370749999997</v>
      </c>
      <c r="AF28" s="6">
        <f>16.2</f>
        <v>16.2</v>
      </c>
      <c r="AG28" s="6">
        <f>16.8</f>
        <v>16.8</v>
      </c>
      <c r="AU28" s="6"/>
      <c r="BH28" s="6"/>
    </row>
    <row r="29" spans="1:60" x14ac:dyDescent="0.3">
      <c r="A29" s="5">
        <v>104350</v>
      </c>
      <c r="B29" s="6" t="s">
        <v>249</v>
      </c>
      <c r="C29" s="6" t="s">
        <v>60</v>
      </c>
      <c r="D29" s="6" t="s">
        <v>233</v>
      </c>
      <c r="E29" s="6">
        <v>7</v>
      </c>
      <c r="F29" s="6" t="s">
        <v>110</v>
      </c>
      <c r="G29" s="14">
        <f>56.7/2.2</f>
        <v>25.772727272727273</v>
      </c>
      <c r="H29" s="6">
        <f>104</f>
        <v>104</v>
      </c>
      <c r="I29" s="6">
        <f>83.04</f>
        <v>83.04</v>
      </c>
      <c r="J29" s="14">
        <f t="shared" si="20"/>
        <v>125.24084778420037</v>
      </c>
      <c r="K29" s="6" t="s">
        <v>101</v>
      </c>
      <c r="L29" s="6">
        <v>2</v>
      </c>
      <c r="M29" s="6">
        <f>0</f>
        <v>0</v>
      </c>
      <c r="N29" s="6">
        <v>2</v>
      </c>
      <c r="O29" s="6">
        <f>0</f>
        <v>0</v>
      </c>
      <c r="P29" s="6">
        <v>9</v>
      </c>
      <c r="Q29" s="6">
        <f>0</f>
        <v>0</v>
      </c>
      <c r="R29" s="6">
        <v>9</v>
      </c>
      <c r="S29" s="6">
        <f>0</f>
        <v>0</v>
      </c>
      <c r="T29" s="6">
        <f>(4.2/2)</f>
        <v>2.1</v>
      </c>
      <c r="U29" s="6">
        <f>(7.22/2)</f>
        <v>3.61</v>
      </c>
      <c r="V29" s="6">
        <f t="shared" si="1"/>
        <v>23.819502</v>
      </c>
      <c r="W29" s="6">
        <f>(3.61/2)</f>
        <v>1.8049999999999999</v>
      </c>
      <c r="X29" s="6">
        <f>(6.91/2)</f>
        <v>3.4550000000000001</v>
      </c>
      <c r="Y29" s="6">
        <f t="shared" si="2"/>
        <v>19.594376050000001</v>
      </c>
      <c r="Z29" s="6">
        <f>(5.1/2)</f>
        <v>2.5499999999999998</v>
      </c>
      <c r="AA29" s="6">
        <f>(11.7/2)</f>
        <v>5.85</v>
      </c>
      <c r="AB29" s="6">
        <f>(Z29*AA29)*3.142</f>
        <v>46.870784999999991</v>
      </c>
      <c r="AC29" s="6">
        <f>(4.81/2)</f>
        <v>2.4049999999999998</v>
      </c>
      <c r="AD29" s="6">
        <f>(12.63/2)</f>
        <v>6.3150000000000004</v>
      </c>
      <c r="AE29" s="6">
        <f>(AC29*AD29)*3.142</f>
        <v>47.719360649999999</v>
      </c>
      <c r="AF29" s="6">
        <f>13.2</f>
        <v>13.2</v>
      </c>
      <c r="AG29" s="6">
        <f>13.5</f>
        <v>13.5</v>
      </c>
      <c r="AU29" s="6"/>
      <c r="BH29" s="6"/>
    </row>
    <row r="30" spans="1:60" x14ac:dyDescent="0.3">
      <c r="A30" s="5">
        <v>104340</v>
      </c>
      <c r="B30" s="7" t="s">
        <v>251</v>
      </c>
      <c r="C30" s="6" t="s">
        <v>252</v>
      </c>
      <c r="D30" s="6" t="s">
        <v>100</v>
      </c>
      <c r="E30" s="6">
        <v>9</v>
      </c>
      <c r="F30" s="6" t="s">
        <v>110</v>
      </c>
      <c r="G30" s="14">
        <f>11.54/2.2</f>
        <v>5.2454545454545443</v>
      </c>
      <c r="H30" s="6">
        <f>70.8</f>
        <v>70.8</v>
      </c>
      <c r="I30" s="6">
        <f>54.9</f>
        <v>54.9</v>
      </c>
      <c r="J30" s="14">
        <f t="shared" si="20"/>
        <v>128.96174863387978</v>
      </c>
      <c r="K30" s="6" t="s">
        <v>101</v>
      </c>
      <c r="L30" s="8" t="s">
        <v>338</v>
      </c>
      <c r="M30" s="6">
        <f>(1.53/6.18)</f>
        <v>0.24757281553398061</v>
      </c>
      <c r="N30" s="8" t="s">
        <v>338</v>
      </c>
      <c r="O30" s="6">
        <f>(0.9/5.7)</f>
        <v>0.15789473684210525</v>
      </c>
      <c r="P30" s="12">
        <v>13</v>
      </c>
      <c r="Q30" s="6" t="s">
        <v>331</v>
      </c>
      <c r="R30" s="12">
        <v>13</v>
      </c>
      <c r="S30" s="6" t="s">
        <v>331</v>
      </c>
      <c r="T30" s="6">
        <f>(3.91/2)</f>
        <v>1.9550000000000001</v>
      </c>
      <c r="U30" s="6">
        <f>(6.33/2)</f>
        <v>3.165</v>
      </c>
      <c r="V30" s="6">
        <f t="shared" si="1"/>
        <v>19.44136065</v>
      </c>
      <c r="W30" s="6">
        <f>(3.01/2)</f>
        <v>1.5049999999999999</v>
      </c>
      <c r="X30" s="6">
        <f>(6.01/2)</f>
        <v>3.0049999999999999</v>
      </c>
      <c r="Y30" s="6">
        <f t="shared" si="2"/>
        <v>14.20977355</v>
      </c>
      <c r="Z30" s="6" t="s">
        <v>368</v>
      </c>
      <c r="AA30" s="6" t="s">
        <v>368</v>
      </c>
      <c r="AB30" s="6" t="s">
        <v>368</v>
      </c>
      <c r="AC30" s="6" t="s">
        <v>368</v>
      </c>
      <c r="AD30" s="6" t="s">
        <v>368</v>
      </c>
      <c r="AE30" s="6" t="s">
        <v>368</v>
      </c>
      <c r="AF30" s="6">
        <f>10.8</f>
        <v>10.8</v>
      </c>
      <c r="AG30" s="6">
        <f>9.6</f>
        <v>9.6</v>
      </c>
      <c r="AU30" s="6"/>
      <c r="BH30" s="6"/>
    </row>
    <row r="31" spans="1:60" x14ac:dyDescent="0.3">
      <c r="A31" s="5">
        <v>104471</v>
      </c>
      <c r="B31" s="6" t="s">
        <v>299</v>
      </c>
      <c r="C31" s="6" t="s">
        <v>263</v>
      </c>
      <c r="D31" s="6" t="s">
        <v>171</v>
      </c>
      <c r="E31" s="6">
        <v>4</v>
      </c>
      <c r="F31" s="6" t="s">
        <v>110</v>
      </c>
      <c r="G31" s="14">
        <f>23.5/2.2</f>
        <v>10.681818181818182</v>
      </c>
      <c r="H31" s="6">
        <f>78</f>
        <v>78</v>
      </c>
      <c r="I31" s="6">
        <f>65.1</f>
        <v>65.099999999999994</v>
      </c>
      <c r="J31" s="14">
        <f t="shared" si="20"/>
        <v>119.81566820276498</v>
      </c>
      <c r="K31" s="6" t="s">
        <v>101</v>
      </c>
      <c r="L31" s="8" t="s">
        <v>338</v>
      </c>
      <c r="M31" s="6">
        <f>(3.6/5.1)</f>
        <v>0.70588235294117652</v>
      </c>
      <c r="N31" s="8" t="s">
        <v>338</v>
      </c>
      <c r="O31" s="6">
        <f>(3.6/5.1)</f>
        <v>0.70588235294117652</v>
      </c>
      <c r="P31" s="12">
        <v>13</v>
      </c>
      <c r="Q31" s="6" t="s">
        <v>331</v>
      </c>
      <c r="R31" s="12">
        <v>13</v>
      </c>
      <c r="S31" s="6" t="s">
        <v>331</v>
      </c>
      <c r="T31" s="6">
        <f>(3.09/2)</f>
        <v>1.5449999999999999</v>
      </c>
      <c r="U31" s="6">
        <f>(5.14/2)</f>
        <v>2.57</v>
      </c>
      <c r="V31" s="6">
        <f t="shared" si="1"/>
        <v>12.475782299999999</v>
      </c>
      <c r="W31" s="6">
        <f>(3/2)</f>
        <v>1.5</v>
      </c>
      <c r="X31" s="6">
        <f>(5.51/2)</f>
        <v>2.7549999999999999</v>
      </c>
      <c r="Y31" s="6">
        <f t="shared" si="2"/>
        <v>12.984315</v>
      </c>
      <c r="Z31" s="6" t="s">
        <v>368</v>
      </c>
      <c r="AA31" s="6" t="s">
        <v>368</v>
      </c>
      <c r="AB31" s="6" t="s">
        <v>368</v>
      </c>
      <c r="AC31" s="6" t="s">
        <v>368</v>
      </c>
      <c r="AD31" s="6" t="s">
        <v>368</v>
      </c>
      <c r="AE31" s="6" t="s">
        <v>368</v>
      </c>
      <c r="AF31" s="6">
        <f>10.2</f>
        <v>10.199999999999999</v>
      </c>
      <c r="AG31" s="6">
        <f>10.5</f>
        <v>10.5</v>
      </c>
      <c r="AU31" s="6"/>
      <c r="BH31" s="6"/>
    </row>
    <row r="32" spans="1:60" x14ac:dyDescent="0.3">
      <c r="A32" s="5">
        <v>104431</v>
      </c>
      <c r="B32" s="6" t="s">
        <v>264</v>
      </c>
      <c r="C32" s="6" t="s">
        <v>265</v>
      </c>
      <c r="D32" s="6" t="s">
        <v>238</v>
      </c>
      <c r="E32" s="6">
        <v>8</v>
      </c>
      <c r="F32" s="6" t="s">
        <v>95</v>
      </c>
      <c r="G32" s="14">
        <f>52.1/2.2</f>
        <v>23.68181818181818</v>
      </c>
      <c r="H32" s="6">
        <f>79</f>
        <v>79</v>
      </c>
      <c r="I32" s="6">
        <f>108</f>
        <v>108</v>
      </c>
      <c r="J32" s="14">
        <f t="shared" si="20"/>
        <v>73.148148148148152</v>
      </c>
      <c r="K32" s="6" t="s">
        <v>101</v>
      </c>
      <c r="L32" s="8" t="s">
        <v>338</v>
      </c>
      <c r="M32" s="6">
        <f>(0.9/6.07)</f>
        <v>0.14827018121911037</v>
      </c>
      <c r="N32" s="8" t="s">
        <v>338</v>
      </c>
      <c r="O32" s="6">
        <f>(0.9/5.1)</f>
        <v>0.17647058823529413</v>
      </c>
      <c r="P32" s="13" t="s">
        <v>383</v>
      </c>
      <c r="Q32" s="6">
        <f>(1.5/6.08)</f>
        <v>0.24671052631578946</v>
      </c>
      <c r="R32" s="13" t="s">
        <v>383</v>
      </c>
      <c r="S32" s="6">
        <f>(2.77/6.48)</f>
        <v>0.42746913580246909</v>
      </c>
      <c r="T32" s="6">
        <f>(2.56/2)</f>
        <v>1.28</v>
      </c>
      <c r="U32" s="6">
        <f>(5.82/2)</f>
        <v>2.91</v>
      </c>
      <c r="V32" s="6">
        <f t="shared" si="1"/>
        <v>11.703321600000001</v>
      </c>
      <c r="W32" s="6">
        <f>(3.65/2)</f>
        <v>1.825</v>
      </c>
      <c r="X32" s="6">
        <f>(6.71/2)</f>
        <v>3.355</v>
      </c>
      <c r="Y32" s="6">
        <f t="shared" si="2"/>
        <v>19.238073249999999</v>
      </c>
      <c r="Z32" s="6">
        <f>(3.3/2)</f>
        <v>1.65</v>
      </c>
      <c r="AA32" s="6">
        <f>(6.48/2)</f>
        <v>3.24</v>
      </c>
      <c r="AB32" s="6">
        <f>(Z32*AA32)*3.142</f>
        <v>16.797132000000001</v>
      </c>
      <c r="AC32" s="6">
        <f>(4.21/2)</f>
        <v>2.105</v>
      </c>
      <c r="AD32" s="6">
        <f>(6.3/2)</f>
        <v>3.15</v>
      </c>
      <c r="AE32" s="6">
        <f>(AC32*AD32)*3.142</f>
        <v>20.833816499999998</v>
      </c>
      <c r="AF32" s="6">
        <f>16.8</f>
        <v>16.8</v>
      </c>
      <c r="AG32" s="6">
        <f>16.2</f>
        <v>16.2</v>
      </c>
      <c r="AU32" s="6"/>
      <c r="BH32" s="6"/>
    </row>
    <row r="33" spans="1:60" x14ac:dyDescent="0.3">
      <c r="A33" s="5">
        <v>2601</v>
      </c>
      <c r="B33" s="6" t="s">
        <v>268</v>
      </c>
      <c r="C33" s="6" t="s">
        <v>269</v>
      </c>
      <c r="D33" s="6" t="s">
        <v>241</v>
      </c>
      <c r="E33" s="6">
        <v>9</v>
      </c>
      <c r="F33" s="6" t="s">
        <v>109</v>
      </c>
      <c r="G33" s="14">
        <f>11/2.2</f>
        <v>5</v>
      </c>
      <c r="H33" s="6">
        <f>79.5</f>
        <v>79.5</v>
      </c>
      <c r="I33" s="6">
        <f>60.9</f>
        <v>60.9</v>
      </c>
      <c r="J33" s="14">
        <f t="shared" si="20"/>
        <v>130.54187192118226</v>
      </c>
      <c r="K33" s="6" t="s">
        <v>101</v>
      </c>
      <c r="L33" s="8" t="s">
        <v>338</v>
      </c>
      <c r="M33" s="6">
        <f>(3.51/5.69)</f>
        <v>0.61687170474516684</v>
      </c>
      <c r="N33" s="8" t="s">
        <v>338</v>
      </c>
      <c r="O33" s="6">
        <f>(2.85/5.6)</f>
        <v>0.50892857142857151</v>
      </c>
      <c r="P33" s="12">
        <v>13</v>
      </c>
      <c r="Q33" s="6" t="s">
        <v>331</v>
      </c>
      <c r="R33" s="12">
        <v>13</v>
      </c>
      <c r="S33" s="6" t="s">
        <v>331</v>
      </c>
      <c r="T33" s="6">
        <f>(3.13/2)</f>
        <v>1.5649999999999999</v>
      </c>
      <c r="U33" s="6">
        <f>(5.41/2)</f>
        <v>2.7050000000000001</v>
      </c>
      <c r="V33" s="6">
        <f t="shared" ref="V33:V41" si="21">(T33*U33)*3.142</f>
        <v>13.301107149999998</v>
      </c>
      <c r="W33" s="6">
        <f>(4.37/2)</f>
        <v>2.1850000000000001</v>
      </c>
      <c r="X33" s="6">
        <f>(5.41/2)</f>
        <v>2.7050000000000001</v>
      </c>
      <c r="Y33" s="6">
        <f t="shared" si="2"/>
        <v>18.570555349999999</v>
      </c>
      <c r="Z33" s="6" t="s">
        <v>368</v>
      </c>
      <c r="AA33" s="6" t="s">
        <v>368</v>
      </c>
      <c r="AB33" s="6" t="s">
        <v>368</v>
      </c>
      <c r="AC33" s="6" t="s">
        <v>368</v>
      </c>
      <c r="AD33" s="6" t="s">
        <v>368</v>
      </c>
      <c r="AE33" s="6" t="s">
        <v>368</v>
      </c>
      <c r="AF33" s="6">
        <f>10.8</f>
        <v>10.8</v>
      </c>
      <c r="AG33" s="6">
        <f>10.2</f>
        <v>10.199999999999999</v>
      </c>
      <c r="AU33" s="6"/>
      <c r="BH33" s="6"/>
    </row>
    <row r="34" spans="1:60" x14ac:dyDescent="0.3">
      <c r="A34" s="10">
        <v>3137</v>
      </c>
      <c r="B34" s="6" t="s">
        <v>303</v>
      </c>
      <c r="C34" s="6" t="s">
        <v>18</v>
      </c>
      <c r="D34" s="6" t="s">
        <v>116</v>
      </c>
      <c r="E34" s="6">
        <v>11</v>
      </c>
      <c r="F34" s="6" t="s">
        <v>110</v>
      </c>
      <c r="G34" s="14">
        <f>65.9/2.2</f>
        <v>29.954545454545453</v>
      </c>
      <c r="H34" s="6">
        <f>72.3</f>
        <v>72.3</v>
      </c>
      <c r="I34" s="6">
        <f>105</f>
        <v>105</v>
      </c>
      <c r="J34" s="14">
        <f t="shared" si="20"/>
        <v>68.857142857142861</v>
      </c>
      <c r="K34" s="6" t="s">
        <v>101</v>
      </c>
      <c r="L34" s="8" t="s">
        <v>370</v>
      </c>
      <c r="M34" s="6">
        <f>(3.91/6.36)</f>
        <v>0.61477987421383651</v>
      </c>
      <c r="N34" s="8" t="s">
        <v>370</v>
      </c>
      <c r="O34" s="6">
        <f>(4.51/6.93)</f>
        <v>0.65079365079365081</v>
      </c>
      <c r="P34" s="13" t="s">
        <v>383</v>
      </c>
      <c r="Q34" s="6">
        <f>(5.1/9)</f>
        <v>0.56666666666666665</v>
      </c>
      <c r="R34" s="13" t="s">
        <v>383</v>
      </c>
      <c r="S34" s="6">
        <f>(3.6/8.4)</f>
        <v>0.42857142857142855</v>
      </c>
      <c r="T34" s="6">
        <f>(2.01/2)</f>
        <v>1.0049999999999999</v>
      </c>
      <c r="U34" s="6">
        <f>(7.06/2)</f>
        <v>3.53</v>
      </c>
      <c r="V34" s="6">
        <f t="shared" si="21"/>
        <v>11.146716299999998</v>
      </c>
      <c r="W34" s="6">
        <f>(2.56/2)</f>
        <v>1.28</v>
      </c>
      <c r="X34" s="6">
        <f>(7.21/2)</f>
        <v>3.605</v>
      </c>
      <c r="Y34" s="6">
        <f t="shared" si="2"/>
        <v>14.4984448</v>
      </c>
      <c r="Z34" s="6">
        <f>(2.4/2)</f>
        <v>1.2</v>
      </c>
      <c r="AA34" s="6">
        <f>(8.4/2)</f>
        <v>4.2</v>
      </c>
      <c r="AB34" s="6">
        <f t="shared" ref="AB34:AB41" si="22">(Z34*AA34)*3.142</f>
        <v>15.83568</v>
      </c>
      <c r="AC34" s="6">
        <f>(3.01/2)</f>
        <v>1.5049999999999999</v>
      </c>
      <c r="AD34" s="6">
        <f>(8.41/2)</f>
        <v>4.2050000000000001</v>
      </c>
      <c r="AE34" s="6">
        <f t="shared" ref="AE34:AE41" si="23">(AC34*AD34)*3.142</f>
        <v>19.88422555</v>
      </c>
      <c r="AF34" s="6">
        <f>15.7</f>
        <v>15.7</v>
      </c>
      <c r="AG34" s="6">
        <f>16.9</f>
        <v>16.899999999999999</v>
      </c>
      <c r="AU34" s="6"/>
      <c r="BH34" s="6"/>
    </row>
    <row r="35" spans="1:60" x14ac:dyDescent="0.3">
      <c r="A35" s="10">
        <v>104611</v>
      </c>
      <c r="B35" s="6" t="s">
        <v>304</v>
      </c>
      <c r="C35" s="6" t="s">
        <v>305</v>
      </c>
      <c r="D35" s="6" t="s">
        <v>247</v>
      </c>
      <c r="E35" s="6">
        <v>8</v>
      </c>
      <c r="F35" s="6" t="s">
        <v>109</v>
      </c>
      <c r="G35" s="14">
        <f>16.9/2.2</f>
        <v>7.6818181818181808</v>
      </c>
      <c r="H35" s="6">
        <v>80</v>
      </c>
      <c r="I35" s="6">
        <f>86</f>
        <v>86</v>
      </c>
      <c r="J35" s="14">
        <f t="shared" si="20"/>
        <v>93.023255813953483</v>
      </c>
      <c r="K35" s="6" t="s">
        <v>101</v>
      </c>
      <c r="L35" s="6" t="s">
        <v>369</v>
      </c>
      <c r="M35" s="6">
        <f>0</f>
        <v>0</v>
      </c>
      <c r="N35" s="6">
        <v>2</v>
      </c>
      <c r="O35" s="6">
        <f>0</f>
        <v>0</v>
      </c>
      <c r="P35" s="6">
        <v>9</v>
      </c>
      <c r="Q35" s="6">
        <f>0</f>
        <v>0</v>
      </c>
      <c r="R35" s="6">
        <v>9</v>
      </c>
      <c r="S35" s="6">
        <f>0</f>
        <v>0</v>
      </c>
      <c r="T35" s="6">
        <f>(3.62/2)</f>
        <v>1.81</v>
      </c>
      <c r="U35" s="6">
        <f>(5.6/2)</f>
        <v>2.8</v>
      </c>
      <c r="V35" s="6">
        <f t="shared" si="21"/>
        <v>15.923655999999998</v>
      </c>
      <c r="W35" s="6">
        <f>(3.2/2)</f>
        <v>1.6</v>
      </c>
      <c r="X35" s="6">
        <f>(6.05/2)</f>
        <v>3.0249999999999999</v>
      </c>
      <c r="Y35" s="6">
        <f t="shared" si="2"/>
        <v>15.207279999999999</v>
      </c>
      <c r="Z35" s="6">
        <f>(3.62/2)</f>
        <v>1.81</v>
      </c>
      <c r="AA35" s="6">
        <f>(6.45/2)</f>
        <v>3.2250000000000001</v>
      </c>
      <c r="AB35" s="6">
        <f t="shared" si="22"/>
        <v>18.340639499999998</v>
      </c>
      <c r="AC35" s="6">
        <f>(4.42/2)</f>
        <v>2.21</v>
      </c>
      <c r="AD35" s="6">
        <f>(5.6/2)</f>
        <v>2.8</v>
      </c>
      <c r="AE35" s="6">
        <f t="shared" si="23"/>
        <v>19.442695999999998</v>
      </c>
      <c r="AF35" s="6">
        <f>14.8</f>
        <v>14.8</v>
      </c>
      <c r="AG35" s="6">
        <f>15.2</f>
        <v>15.2</v>
      </c>
      <c r="AU35" s="6"/>
      <c r="BH35" s="6"/>
    </row>
    <row r="36" spans="1:60" x14ac:dyDescent="0.3">
      <c r="A36" s="10">
        <v>103701</v>
      </c>
      <c r="B36" s="6" t="s">
        <v>306</v>
      </c>
      <c r="C36" s="6" t="s">
        <v>29</v>
      </c>
      <c r="D36" s="6" t="s">
        <v>171</v>
      </c>
      <c r="E36" s="6">
        <v>7</v>
      </c>
      <c r="F36" s="6" t="s">
        <v>109</v>
      </c>
      <c r="G36" s="14">
        <f>26.23/2.2</f>
        <v>11.922727272727272</v>
      </c>
      <c r="H36" s="6">
        <f>81</f>
        <v>81</v>
      </c>
      <c r="I36" s="6">
        <f>87</f>
        <v>87</v>
      </c>
      <c r="J36" s="14">
        <f t="shared" si="20"/>
        <v>93.103448275862064</v>
      </c>
      <c r="K36" s="6" t="s">
        <v>101</v>
      </c>
      <c r="L36" s="8" t="s">
        <v>338</v>
      </c>
      <c r="M36" s="6">
        <f>(3.2/4.4)</f>
        <v>0.72727272727272729</v>
      </c>
      <c r="N36" s="8" t="s">
        <v>338</v>
      </c>
      <c r="O36" s="6">
        <f>(3.22/4.4)</f>
        <v>0.73181818181818181</v>
      </c>
      <c r="P36" s="13" t="s">
        <v>383</v>
      </c>
      <c r="Q36" s="6">
        <f>(4.4/8)</f>
        <v>0.55000000000000004</v>
      </c>
      <c r="R36" s="13" t="s">
        <v>383</v>
      </c>
      <c r="S36" s="6">
        <f>(4.4/7.2)</f>
        <v>0.61111111111111116</v>
      </c>
      <c r="T36" s="6">
        <f>(2.8/2)</f>
        <v>1.4</v>
      </c>
      <c r="U36" s="6">
        <f>(4.4/2)</f>
        <v>2.2000000000000002</v>
      </c>
      <c r="V36" s="6">
        <f t="shared" si="21"/>
        <v>9.6773600000000002</v>
      </c>
      <c r="W36" s="6">
        <f>(2.43/2)</f>
        <v>1.2150000000000001</v>
      </c>
      <c r="X36" s="6">
        <f>(4.4/2)</f>
        <v>2.2000000000000002</v>
      </c>
      <c r="Y36" s="6">
        <f t="shared" si="2"/>
        <v>8.3985660000000006</v>
      </c>
      <c r="Z36" s="6">
        <f>(4/2)</f>
        <v>2</v>
      </c>
      <c r="AA36" s="6">
        <f>(8.09/2)</f>
        <v>4.0449999999999999</v>
      </c>
      <c r="AB36" s="6">
        <f t="shared" si="22"/>
        <v>25.418779999999998</v>
      </c>
      <c r="AC36" s="6">
        <f>(3.2/2)</f>
        <v>1.6</v>
      </c>
      <c r="AD36" s="6">
        <f>(7.61/2)</f>
        <v>3.8050000000000002</v>
      </c>
      <c r="AE36" s="6">
        <f t="shared" si="23"/>
        <v>19.128496000000002</v>
      </c>
      <c r="AF36" s="6">
        <f>10.8</f>
        <v>10.8</v>
      </c>
      <c r="AG36" s="6">
        <f>10</f>
        <v>10</v>
      </c>
      <c r="AU36" s="6"/>
      <c r="BH36" s="6"/>
    </row>
    <row r="37" spans="1:60" x14ac:dyDescent="0.3">
      <c r="A37" s="10">
        <v>104661</v>
      </c>
      <c r="B37" s="6" t="s">
        <v>310</v>
      </c>
      <c r="C37" s="6" t="s">
        <v>311</v>
      </c>
      <c r="D37" s="6" t="s">
        <v>312</v>
      </c>
      <c r="E37" s="6">
        <v>12</v>
      </c>
      <c r="F37" s="6" t="s">
        <v>109</v>
      </c>
      <c r="G37" s="14">
        <f>57.6/2.2</f>
        <v>26.18181818181818</v>
      </c>
      <c r="H37" s="6">
        <f>89.2</f>
        <v>89.2</v>
      </c>
      <c r="I37" s="6">
        <f>114.4</f>
        <v>114.4</v>
      </c>
      <c r="J37" s="14">
        <f t="shared" si="20"/>
        <v>77.972027972027973</v>
      </c>
      <c r="K37" s="6" t="s">
        <v>101</v>
      </c>
      <c r="L37" s="6" t="s">
        <v>369</v>
      </c>
      <c r="M37" s="6">
        <f>0</f>
        <v>0</v>
      </c>
      <c r="N37" s="6" t="s">
        <v>369</v>
      </c>
      <c r="O37" s="6">
        <f>0</f>
        <v>0</v>
      </c>
      <c r="P37" s="6">
        <v>9</v>
      </c>
      <c r="Q37" s="6">
        <f>0</f>
        <v>0</v>
      </c>
      <c r="R37" s="6">
        <v>9</v>
      </c>
      <c r="S37" s="6">
        <f>0</f>
        <v>0</v>
      </c>
      <c r="T37" s="6">
        <f>(3.6/2)</f>
        <v>1.8</v>
      </c>
      <c r="U37" s="6">
        <f>(5.95/2)</f>
        <v>2.9750000000000001</v>
      </c>
      <c r="V37" s="6">
        <f t="shared" si="21"/>
        <v>16.825410000000002</v>
      </c>
      <c r="W37" s="6">
        <f>(3.42/2)</f>
        <v>1.71</v>
      </c>
      <c r="X37" s="6">
        <f>(5.6/2)</f>
        <v>2.8</v>
      </c>
      <c r="Y37" s="6">
        <f t="shared" si="2"/>
        <v>15.043895999999998</v>
      </c>
      <c r="Z37" s="6">
        <f>(4.08/2)</f>
        <v>2.04</v>
      </c>
      <c r="AA37" s="6">
        <f>(6.85/2)</f>
        <v>3.4249999999999998</v>
      </c>
      <c r="AB37" s="6">
        <f t="shared" si="22"/>
        <v>21.953154000000001</v>
      </c>
      <c r="AC37" s="6">
        <f>(4/2)</f>
        <v>2</v>
      </c>
      <c r="AD37" s="6">
        <f>(5.61/2)</f>
        <v>2.8050000000000002</v>
      </c>
      <c r="AE37" s="6">
        <f t="shared" si="23"/>
        <v>17.626619999999999</v>
      </c>
      <c r="AF37" s="6">
        <f>15.2</f>
        <v>15.2</v>
      </c>
      <c r="AG37" s="6">
        <f>15.6</f>
        <v>15.6</v>
      </c>
      <c r="AU37" s="6"/>
      <c r="BH37" s="6"/>
    </row>
    <row r="38" spans="1:60" x14ac:dyDescent="0.3">
      <c r="A38" s="10">
        <v>104725</v>
      </c>
      <c r="B38" s="6" t="s">
        <v>316</v>
      </c>
      <c r="C38" s="6" t="s">
        <v>317</v>
      </c>
      <c r="D38" s="6" t="s">
        <v>119</v>
      </c>
      <c r="E38" s="6">
        <v>5</v>
      </c>
      <c r="F38" s="6" t="s">
        <v>110</v>
      </c>
      <c r="G38" s="14">
        <f>39/2.2</f>
        <v>17.727272727272727</v>
      </c>
      <c r="H38" s="6">
        <f>76</f>
        <v>76</v>
      </c>
      <c r="I38" s="6">
        <f>115</f>
        <v>115</v>
      </c>
      <c r="J38" s="14">
        <f t="shared" si="20"/>
        <v>66.086956521739125</v>
      </c>
      <c r="K38" s="6" t="s">
        <v>101</v>
      </c>
      <c r="L38" s="8" t="s">
        <v>338</v>
      </c>
      <c r="M38" s="6">
        <f>(2.8/7.6)</f>
        <v>0.36842105263157893</v>
      </c>
      <c r="N38" s="8" t="s">
        <v>370</v>
      </c>
      <c r="O38" s="6">
        <f>(2.4/7.21)</f>
        <v>0.33287101248266293</v>
      </c>
      <c r="P38" s="13" t="s">
        <v>383</v>
      </c>
      <c r="Q38" s="6">
        <f>(5.34/9.81)</f>
        <v>0.54434250764525993</v>
      </c>
      <c r="R38" s="13" t="s">
        <v>386</v>
      </c>
      <c r="S38" s="6">
        <f>(4.08/8.94)</f>
        <v>0.4563758389261745</v>
      </c>
      <c r="T38" s="6">
        <f>(2.83/2)</f>
        <v>1.415</v>
      </c>
      <c r="U38" s="6">
        <f>(7.64/2)</f>
        <v>3.82</v>
      </c>
      <c r="V38" s="6">
        <f t="shared" si="21"/>
        <v>16.9834526</v>
      </c>
      <c r="W38" s="6">
        <f>(2.83/2)</f>
        <v>1.415</v>
      </c>
      <c r="X38" s="6">
        <f>(6.81/2)</f>
        <v>3.4049999999999998</v>
      </c>
      <c r="Y38" s="6">
        <f t="shared" si="2"/>
        <v>15.138391649999997</v>
      </c>
      <c r="Z38" s="6">
        <f>(4.4/2)</f>
        <v>2.2000000000000002</v>
      </c>
      <c r="AA38" s="6">
        <f>(10.07/2)</f>
        <v>5.0350000000000001</v>
      </c>
      <c r="AB38" s="6">
        <f t="shared" si="22"/>
        <v>34.803934000000005</v>
      </c>
      <c r="AC38" s="6">
        <f>(9.62/2)</f>
        <v>4.8099999999999996</v>
      </c>
      <c r="AD38" s="6">
        <f>(4.04/2)</f>
        <v>2.02</v>
      </c>
      <c r="AE38" s="6">
        <f t="shared" si="23"/>
        <v>30.528300399999996</v>
      </c>
      <c r="AF38" s="6">
        <f>17.7</f>
        <v>17.7</v>
      </c>
      <c r="AG38" s="6">
        <f>17.6</f>
        <v>17.600000000000001</v>
      </c>
      <c r="AU38" s="6"/>
      <c r="BH38" s="6"/>
    </row>
    <row r="39" spans="1:60" x14ac:dyDescent="0.3">
      <c r="A39" s="10">
        <v>104726</v>
      </c>
      <c r="B39" s="6" t="s">
        <v>318</v>
      </c>
      <c r="C39" s="6" t="s">
        <v>317</v>
      </c>
      <c r="D39" s="6" t="s">
        <v>119</v>
      </c>
      <c r="E39" s="6">
        <v>5</v>
      </c>
      <c r="F39" s="6" t="s">
        <v>95</v>
      </c>
      <c r="G39" s="14">
        <f>41.8/2.2</f>
        <v>18.999999999999996</v>
      </c>
      <c r="H39" s="6">
        <f>88</f>
        <v>88</v>
      </c>
      <c r="I39" s="6">
        <f>102</f>
        <v>102</v>
      </c>
      <c r="J39" s="14">
        <f t="shared" si="20"/>
        <v>86.274509803921575</v>
      </c>
      <c r="K39" s="6" t="s">
        <v>101</v>
      </c>
      <c r="L39" s="6">
        <v>2</v>
      </c>
      <c r="M39" s="6">
        <f>0</f>
        <v>0</v>
      </c>
      <c r="N39" s="6">
        <v>2</v>
      </c>
      <c r="O39" s="6">
        <f>0</f>
        <v>0</v>
      </c>
      <c r="P39" s="13" t="s">
        <v>383</v>
      </c>
      <c r="Q39" s="6">
        <f>(1.6/8.44)</f>
        <v>0.18957345971563982</v>
      </c>
      <c r="R39" s="13" t="s">
        <v>383</v>
      </c>
      <c r="S39" s="6">
        <f>(1.6/8.49)</f>
        <v>0.18845700824499412</v>
      </c>
      <c r="T39" s="6">
        <f>(2.8/2)</f>
        <v>1.4</v>
      </c>
      <c r="U39" s="6">
        <f>(6.01/2)</f>
        <v>3.0049999999999999</v>
      </c>
      <c r="V39" s="6">
        <f t="shared" si="21"/>
        <v>13.218394</v>
      </c>
      <c r="W39" s="6">
        <f>(3.6/2)</f>
        <v>1.8</v>
      </c>
      <c r="X39" s="6">
        <f>(6.41/2)</f>
        <v>3.2050000000000001</v>
      </c>
      <c r="Y39" s="6">
        <f t="shared" si="2"/>
        <v>18.126197999999999</v>
      </c>
      <c r="Z39" s="6">
        <f>(4.8/2)</f>
        <v>2.4</v>
      </c>
      <c r="AA39" s="6">
        <f>(8.81/2)</f>
        <v>4.4050000000000002</v>
      </c>
      <c r="AB39" s="6">
        <f t="shared" si="22"/>
        <v>33.217224000000002</v>
      </c>
      <c r="AC39" s="6">
        <f>(3.62/2)</f>
        <v>1.81</v>
      </c>
      <c r="AD39" s="6">
        <f>(8.04/2)</f>
        <v>4.0199999999999996</v>
      </c>
      <c r="AE39" s="6">
        <f t="shared" si="23"/>
        <v>22.861820399999996</v>
      </c>
      <c r="AF39" s="6">
        <f>15.2</f>
        <v>15.2</v>
      </c>
      <c r="AG39" s="6">
        <f>16</f>
        <v>16</v>
      </c>
      <c r="AU39" s="6"/>
      <c r="BH39" s="6"/>
    </row>
    <row r="40" spans="1:60" x14ac:dyDescent="0.3">
      <c r="A40" s="10">
        <v>104637</v>
      </c>
      <c r="B40" s="6" t="s">
        <v>307</v>
      </c>
      <c r="C40" s="6" t="s">
        <v>308</v>
      </c>
      <c r="D40" s="6" t="s">
        <v>309</v>
      </c>
      <c r="E40" s="6">
        <v>7</v>
      </c>
      <c r="F40" s="6" t="s">
        <v>95</v>
      </c>
      <c r="G40" s="14">
        <f>61.9/2.2</f>
        <v>28.136363636363633</v>
      </c>
      <c r="H40" s="6" t="s">
        <v>320</v>
      </c>
      <c r="I40" s="6" t="s">
        <v>319</v>
      </c>
      <c r="K40" s="6" t="s">
        <v>101</v>
      </c>
      <c r="L40" s="6">
        <v>1</v>
      </c>
      <c r="M40" s="6">
        <f>0</f>
        <v>0</v>
      </c>
      <c r="N40" s="6">
        <v>1</v>
      </c>
      <c r="O40" s="6">
        <f>0</f>
        <v>0</v>
      </c>
      <c r="P40" s="6" t="s">
        <v>384</v>
      </c>
      <c r="Q40" s="6">
        <f>0</f>
        <v>0</v>
      </c>
      <c r="R40" s="6">
        <v>9</v>
      </c>
      <c r="S40" s="6">
        <f>0</f>
        <v>0</v>
      </c>
      <c r="T40" s="6">
        <f>(2.83/2)</f>
        <v>1.415</v>
      </c>
      <c r="U40" s="6">
        <f>(5.61/2)</f>
        <v>2.8050000000000002</v>
      </c>
      <c r="V40" s="6">
        <f t="shared" si="21"/>
        <v>12.470833649999999</v>
      </c>
      <c r="W40" s="6">
        <f>(2.4/2)</f>
        <v>1.2</v>
      </c>
      <c r="X40" s="6">
        <f>(4.82/2)</f>
        <v>2.41</v>
      </c>
      <c r="Y40" s="6">
        <f>(W40*X40)*3.142</f>
        <v>9.086663999999999</v>
      </c>
      <c r="Z40" s="6">
        <f>(3.2/2)</f>
        <v>1.6</v>
      </c>
      <c r="AA40" s="6">
        <f>(5.66/2)</f>
        <v>2.83</v>
      </c>
      <c r="AB40" s="6">
        <f t="shared" si="22"/>
        <v>14.226976000000001</v>
      </c>
      <c r="AC40" s="6">
        <f>(3.22/2)</f>
        <v>1.61</v>
      </c>
      <c r="AD40" s="6">
        <f>(5.06/2)</f>
        <v>2.5299999999999998</v>
      </c>
      <c r="AE40" s="6">
        <f t="shared" si="23"/>
        <v>12.798308599999999</v>
      </c>
      <c r="AF40" s="6">
        <f>15.6</f>
        <v>15.6</v>
      </c>
      <c r="AG40" s="6">
        <f>16</f>
        <v>16</v>
      </c>
      <c r="AU40" s="6"/>
      <c r="BH40" s="6"/>
    </row>
    <row r="41" spans="1:60" x14ac:dyDescent="0.3">
      <c r="A41" s="5">
        <v>103854</v>
      </c>
      <c r="B41" s="6" t="s">
        <v>147</v>
      </c>
      <c r="C41" s="6" t="s">
        <v>19</v>
      </c>
      <c r="D41" s="6" t="s">
        <v>118</v>
      </c>
      <c r="E41" s="6">
        <v>7</v>
      </c>
      <c r="F41" s="6" t="s">
        <v>95</v>
      </c>
      <c r="G41" s="14">
        <f>77.7/2.2</f>
        <v>35.31818181818182</v>
      </c>
      <c r="H41" s="6" t="s">
        <v>320</v>
      </c>
      <c r="I41" s="6" t="s">
        <v>319</v>
      </c>
      <c r="K41" s="6" t="s">
        <v>101</v>
      </c>
      <c r="L41" s="6">
        <v>1</v>
      </c>
      <c r="M41" s="6">
        <v>0</v>
      </c>
      <c r="N41" s="6">
        <v>1</v>
      </c>
      <c r="O41" s="6">
        <v>0</v>
      </c>
      <c r="P41" s="6" t="s">
        <v>385</v>
      </c>
      <c r="Q41" s="6">
        <v>0</v>
      </c>
      <c r="R41" s="6" t="s">
        <v>385</v>
      </c>
      <c r="S41" s="6">
        <v>0</v>
      </c>
      <c r="T41" s="6">
        <f>(2.7/2)</f>
        <v>1.35</v>
      </c>
      <c r="U41" s="6">
        <f>(6.6/2)</f>
        <v>3.3</v>
      </c>
      <c r="V41" s="6">
        <f t="shared" si="21"/>
        <v>13.99761</v>
      </c>
      <c r="W41" s="6">
        <f>(2.7/2)</f>
        <v>1.35</v>
      </c>
      <c r="X41" s="6">
        <f>(6.63/2)</f>
        <v>3.3149999999999999</v>
      </c>
      <c r="Y41" s="6">
        <f>(W41*X41)*3.142</f>
        <v>14.061235499999999</v>
      </c>
      <c r="Z41" s="6">
        <f>(3.3/2)</f>
        <v>1.65</v>
      </c>
      <c r="AA41" s="6">
        <f>(6.61/2)</f>
        <v>3.3050000000000002</v>
      </c>
      <c r="AB41" s="6">
        <f t="shared" si="22"/>
        <v>17.134111499999999</v>
      </c>
      <c r="AC41" s="6">
        <f>(3.3/2)</f>
        <v>1.65</v>
      </c>
      <c r="AD41" s="6">
        <f>(6.61/2)</f>
        <v>3.3050000000000002</v>
      </c>
      <c r="AE41" s="6">
        <f t="shared" si="23"/>
        <v>17.134111499999999</v>
      </c>
      <c r="AF41" s="6">
        <f>15.6</f>
        <v>15.6</v>
      </c>
      <c r="AG41" s="6">
        <f>15.11</f>
        <v>15.11</v>
      </c>
      <c r="AU41" s="6"/>
      <c r="BH41" s="6"/>
    </row>
    <row r="42" spans="1:60" x14ac:dyDescent="0.3">
      <c r="A42" s="10"/>
      <c r="B42" s="11">
        <v>43800</v>
      </c>
      <c r="C42" s="6" t="s">
        <v>321</v>
      </c>
      <c r="L42" s="2"/>
      <c r="M42" s="2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2"/>
      <c r="AA42" s="3"/>
      <c r="AB42" s="3"/>
      <c r="AC42" s="2"/>
      <c r="AD42" s="3"/>
      <c r="AE42" s="3"/>
      <c r="AF42" s="3"/>
      <c r="AG42" s="3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60" x14ac:dyDescent="0.3">
      <c r="A43" s="10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60" x14ac:dyDescent="0.3">
      <c r="A44" s="10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60" x14ac:dyDescent="0.3">
      <c r="A45" s="10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</row>
  </sheetData>
  <pageMargins left="0.7" right="0.7" top="0.75" bottom="0.75" header="0.3" footer="0.3"/>
  <pageSetup orientation="portrait" horizontalDpi="4294967295" verticalDpi="4294967295" r:id="rId1"/>
  <ignoredErrors>
    <ignoredError sqref="AC5 M13 O13 S13 Q13 X16 T18 M36 M38 O36 O38 Q36 S36 W27 T39 AF38 Q15 S15 Q32 Q34 S32 S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B730-BEC5-4257-9709-6D89CC2EE13B}">
  <dimension ref="A1:E20"/>
  <sheetViews>
    <sheetView workbookViewId="0">
      <selection activeCell="E17" sqref="E17"/>
    </sheetView>
  </sheetViews>
  <sheetFormatPr defaultRowHeight="14.4" x14ac:dyDescent="0.3"/>
  <cols>
    <col min="1" max="1" width="25.21875" customWidth="1"/>
    <col min="2" max="2" width="43.6640625" customWidth="1"/>
    <col min="4" max="4" width="14.5546875" customWidth="1"/>
    <col min="5" max="5" width="32" customWidth="1"/>
  </cols>
  <sheetData>
    <row r="1" spans="1:5" x14ac:dyDescent="0.3">
      <c r="A1" t="s">
        <v>340</v>
      </c>
      <c r="B1" t="s">
        <v>280</v>
      </c>
      <c r="D1" t="s">
        <v>324</v>
      </c>
      <c r="E1" t="s">
        <v>327</v>
      </c>
    </row>
    <row r="2" spans="1:5" x14ac:dyDescent="0.3">
      <c r="A2" t="s">
        <v>339</v>
      </c>
      <c r="B2" t="s">
        <v>281</v>
      </c>
      <c r="D2" t="s">
        <v>325</v>
      </c>
      <c r="E2" t="s">
        <v>328</v>
      </c>
    </row>
    <row r="3" spans="1:5" x14ac:dyDescent="0.3">
      <c r="A3" t="s">
        <v>341</v>
      </c>
      <c r="B3" t="s">
        <v>282</v>
      </c>
      <c r="D3" t="s">
        <v>326</v>
      </c>
      <c r="E3" t="s">
        <v>329</v>
      </c>
    </row>
    <row r="4" spans="1:5" x14ac:dyDescent="0.3">
      <c r="A4" t="s">
        <v>334</v>
      </c>
      <c r="B4" t="s">
        <v>283</v>
      </c>
      <c r="D4" t="s">
        <v>331</v>
      </c>
      <c r="E4" t="s">
        <v>359</v>
      </c>
    </row>
    <row r="5" spans="1:5" x14ac:dyDescent="0.3">
      <c r="A5" t="s">
        <v>346</v>
      </c>
      <c r="B5" t="s">
        <v>284</v>
      </c>
      <c r="D5" t="s">
        <v>332</v>
      </c>
      <c r="E5" t="s">
        <v>357</v>
      </c>
    </row>
    <row r="6" spans="1:5" x14ac:dyDescent="0.3">
      <c r="A6" t="s">
        <v>347</v>
      </c>
      <c r="B6" t="s">
        <v>285</v>
      </c>
      <c r="D6" t="s">
        <v>330</v>
      </c>
      <c r="E6" t="s">
        <v>358</v>
      </c>
    </row>
    <row r="7" spans="1:5" x14ac:dyDescent="0.3">
      <c r="A7" t="s">
        <v>348</v>
      </c>
      <c r="B7" t="s">
        <v>286</v>
      </c>
      <c r="D7" t="s">
        <v>365</v>
      </c>
      <c r="E7" t="s">
        <v>366</v>
      </c>
    </row>
    <row r="8" spans="1:5" x14ac:dyDescent="0.3">
      <c r="A8" t="s">
        <v>349</v>
      </c>
      <c r="B8" t="s">
        <v>287</v>
      </c>
      <c r="D8" t="s">
        <v>364</v>
      </c>
      <c r="E8" t="s">
        <v>367</v>
      </c>
    </row>
    <row r="9" spans="1:5" x14ac:dyDescent="0.3">
      <c r="A9" t="s">
        <v>336</v>
      </c>
      <c r="B9" t="s">
        <v>288</v>
      </c>
      <c r="D9" t="s">
        <v>376</v>
      </c>
      <c r="E9" t="s">
        <v>377</v>
      </c>
    </row>
    <row r="10" spans="1:5" x14ac:dyDescent="0.3">
      <c r="A10" t="s">
        <v>350</v>
      </c>
      <c r="B10" t="s">
        <v>289</v>
      </c>
      <c r="D10" t="s">
        <v>388</v>
      </c>
      <c r="E10" t="s">
        <v>378</v>
      </c>
    </row>
    <row r="11" spans="1:5" x14ac:dyDescent="0.3">
      <c r="A11" t="s">
        <v>343</v>
      </c>
      <c r="B11" t="s">
        <v>290</v>
      </c>
    </row>
    <row r="12" spans="1:5" x14ac:dyDescent="0.3">
      <c r="A12" t="s">
        <v>344</v>
      </c>
      <c r="B12" t="s">
        <v>291</v>
      </c>
    </row>
    <row r="13" spans="1:5" x14ac:dyDescent="0.3">
      <c r="A13" t="s">
        <v>351</v>
      </c>
      <c r="B13" t="s">
        <v>292</v>
      </c>
    </row>
    <row r="14" spans="1:5" x14ac:dyDescent="0.3">
      <c r="A14" t="s">
        <v>335</v>
      </c>
      <c r="B14" t="s">
        <v>293</v>
      </c>
    </row>
    <row r="15" spans="1:5" x14ac:dyDescent="0.3">
      <c r="A15" t="s">
        <v>352</v>
      </c>
      <c r="B15" t="s">
        <v>294</v>
      </c>
    </row>
    <row r="16" spans="1:5" x14ac:dyDescent="0.3">
      <c r="A16" t="s">
        <v>353</v>
      </c>
      <c r="B16" t="s">
        <v>295</v>
      </c>
    </row>
    <row r="17" spans="1:2" x14ac:dyDescent="0.3">
      <c r="A17" t="s">
        <v>354</v>
      </c>
      <c r="B17" t="s">
        <v>296</v>
      </c>
    </row>
    <row r="18" spans="1:2" x14ac:dyDescent="0.3">
      <c r="A18" t="s">
        <v>355</v>
      </c>
      <c r="B18" t="s">
        <v>297</v>
      </c>
    </row>
    <row r="19" spans="1:2" x14ac:dyDescent="0.3">
      <c r="A19" t="s">
        <v>337</v>
      </c>
      <c r="B19" t="s">
        <v>298</v>
      </c>
    </row>
    <row r="20" spans="1:2" x14ac:dyDescent="0.3">
      <c r="A20" t="s">
        <v>380</v>
      </c>
      <c r="B20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Mesocephlic</vt:lpstr>
      <vt:lpstr>Brachycephalic</vt:lpstr>
      <vt:lpstr>Dolichocephalic</vt:lpstr>
      <vt:lpstr>Legend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Littles</dc:creator>
  <cp:lastModifiedBy>VDOSNM</cp:lastModifiedBy>
  <cp:lastPrinted>2019-12-01T20:32:16Z</cp:lastPrinted>
  <dcterms:created xsi:type="dcterms:W3CDTF">2019-03-14T22:56:11Z</dcterms:created>
  <dcterms:modified xsi:type="dcterms:W3CDTF">2022-07-23T18:54:41Z</dcterms:modified>
</cp:coreProperties>
</file>