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dosnm\Dropbox (VDOSNM)\ML's Stuff\Residency\Publications, Case Report, Research Project\AA USE - For Dr. Rao\Final Folder\USE Submission and Revision Final\Second Submission 8-10-22\"/>
    </mc:Choice>
  </mc:AlternateContent>
  <xr:revisionPtr revIDLastSave="0" documentId="13_ncr:1_{EC3BB603-415C-4BAB-9A1F-FCB38BD89E9C}" xr6:coauthVersionLast="47" xr6:coauthVersionMax="47" xr10:uidLastSave="{00000000-0000-0000-0000-000000000000}"/>
  <bookViews>
    <workbookView xWindow="-108" yWindow="-108" windowWidth="23256" windowHeight="13896" firstSheet="3" activeTab="7" xr2:uid="{7F7FDE28-EF30-409D-A220-212FB26A4A08}"/>
  </bookViews>
  <sheets>
    <sheet name="Percents" sheetId="1" r:id="rId1"/>
    <sheet name="Pie Chart Mesial Roots" sheetId="3" r:id="rId2"/>
    <sheet name="Pie Chart Distal Roots" sheetId="4" r:id="rId3"/>
    <sheet name="Pie Chart Mesial Sec 5" sheetId="5" r:id="rId4"/>
    <sheet name="Pie Chart Section 12" sheetId="6" r:id="rId5"/>
    <sheet name="Pie Portion 5" sheetId="7" r:id="rId6"/>
    <sheet name="Pie Portion 12" sheetId="8" r:id="rId7"/>
    <sheet name="Pie Portion 13 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9" l="1"/>
  <c r="E86" i="9"/>
  <c r="E82" i="9"/>
  <c r="E81" i="9"/>
  <c r="E77" i="9"/>
  <c r="E76" i="9"/>
  <c r="E72" i="9"/>
  <c r="E71" i="9"/>
  <c r="E58" i="9"/>
  <c r="E57" i="9"/>
  <c r="E53" i="9"/>
  <c r="E52" i="9"/>
  <c r="E48" i="9"/>
  <c r="E47" i="9"/>
  <c r="E43" i="9"/>
  <c r="E42" i="9"/>
  <c r="E28" i="9"/>
  <c r="E27" i="9"/>
  <c r="E17" i="9"/>
  <c r="E13" i="9"/>
  <c r="E12" i="9"/>
  <c r="H68" i="9"/>
  <c r="G68" i="9"/>
  <c r="H67" i="9"/>
  <c r="G67" i="9"/>
  <c r="H66" i="9"/>
  <c r="G66" i="9"/>
  <c r="H65" i="9"/>
  <c r="G65" i="9"/>
  <c r="T39" i="9"/>
  <c r="S39" i="9"/>
  <c r="T38" i="9"/>
  <c r="S38" i="9"/>
  <c r="T37" i="9"/>
  <c r="S37" i="9"/>
  <c r="T36" i="9"/>
  <c r="S36" i="9"/>
  <c r="T9" i="9"/>
  <c r="S9" i="9"/>
  <c r="S8" i="9"/>
  <c r="S7" i="9"/>
  <c r="T6" i="9"/>
  <c r="S6" i="9"/>
  <c r="T137" i="1"/>
  <c r="T136" i="1"/>
  <c r="T135" i="1"/>
  <c r="T134" i="1"/>
  <c r="T129" i="1"/>
  <c r="T128" i="1"/>
  <c r="T127" i="1"/>
  <c r="T126" i="1"/>
  <c r="T118" i="1"/>
  <c r="T115" i="1"/>
  <c r="S137" i="1"/>
  <c r="S136" i="1"/>
  <c r="S135" i="1"/>
  <c r="S134" i="1"/>
  <c r="S129" i="1"/>
  <c r="S128" i="1"/>
  <c r="S127" i="1"/>
  <c r="S126" i="1"/>
  <c r="S118" i="1"/>
  <c r="S117" i="1"/>
  <c r="S116" i="1"/>
  <c r="S115" i="1"/>
  <c r="R7" i="8"/>
  <c r="Q7" i="8"/>
  <c r="P7" i="8"/>
  <c r="O7" i="8"/>
  <c r="N7" i="8"/>
  <c r="F7" i="8"/>
  <c r="E7" i="8"/>
  <c r="R6" i="8"/>
  <c r="Q6" i="8"/>
  <c r="P6" i="8"/>
  <c r="O6" i="8"/>
  <c r="N6" i="8"/>
  <c r="F6" i="8"/>
  <c r="E6" i="8"/>
  <c r="R5" i="8"/>
  <c r="Q5" i="8"/>
  <c r="P5" i="8"/>
  <c r="O5" i="8"/>
  <c r="N5" i="8"/>
  <c r="F5" i="8"/>
  <c r="E5" i="8"/>
  <c r="P4" i="8"/>
  <c r="N4" i="8"/>
  <c r="N8" i="7"/>
  <c r="M8" i="7"/>
  <c r="L8" i="7"/>
  <c r="K8" i="7"/>
  <c r="J8" i="7"/>
  <c r="F8" i="7"/>
  <c r="N7" i="7"/>
  <c r="M7" i="7"/>
  <c r="L7" i="7"/>
  <c r="K7" i="7"/>
  <c r="J7" i="7"/>
  <c r="F7" i="7"/>
  <c r="N6" i="7"/>
  <c r="M6" i="7"/>
  <c r="L6" i="7"/>
  <c r="K6" i="7"/>
  <c r="J6" i="7"/>
  <c r="F6" i="7"/>
  <c r="N5" i="7"/>
  <c r="M5" i="7"/>
  <c r="L5" i="7"/>
  <c r="K5" i="7"/>
  <c r="J5" i="7"/>
  <c r="F5" i="7"/>
  <c r="G29" i="6"/>
  <c r="G28" i="6"/>
  <c r="G17" i="6"/>
  <c r="G16" i="6"/>
  <c r="F16" i="6"/>
  <c r="Y7" i="6"/>
  <c r="V7" i="6"/>
  <c r="U7" i="6"/>
  <c r="Y6" i="6"/>
  <c r="V6" i="6"/>
  <c r="U6" i="6"/>
  <c r="Y5" i="6"/>
  <c r="V5" i="6"/>
  <c r="U5" i="6"/>
  <c r="Y4" i="6"/>
  <c r="V4" i="6"/>
  <c r="U4" i="6"/>
  <c r="G29" i="5"/>
  <c r="G23" i="5"/>
  <c r="G16" i="5"/>
  <c r="O107" i="1"/>
  <c r="N106" i="1"/>
  <c r="O108" i="1"/>
  <c r="AU54" i="1"/>
  <c r="AU53" i="1"/>
  <c r="AU52" i="1"/>
  <c r="AU51" i="1"/>
  <c r="AQ54" i="1"/>
  <c r="AQ52" i="1"/>
  <c r="AR27" i="1"/>
  <c r="AR26" i="1"/>
  <c r="AR25" i="1"/>
  <c r="P108" i="1"/>
  <c r="P107" i="1"/>
  <c r="P106" i="1"/>
  <c r="P105" i="1"/>
  <c r="O106" i="1"/>
  <c r="N108" i="1"/>
  <c r="N107" i="1"/>
  <c r="N105" i="1"/>
  <c r="R108" i="1"/>
  <c r="Q108" i="1"/>
  <c r="R107" i="1"/>
  <c r="Q107" i="1"/>
  <c r="R106" i="1"/>
  <c r="Q106" i="1"/>
  <c r="Q81" i="1"/>
  <c r="Q80" i="1"/>
  <c r="Q79" i="1"/>
  <c r="Q78" i="1"/>
  <c r="P81" i="1"/>
  <c r="P80" i="1"/>
  <c r="P79" i="1"/>
  <c r="P78" i="1"/>
  <c r="O81" i="1"/>
  <c r="O80" i="1"/>
  <c r="O79" i="1"/>
  <c r="O78" i="1"/>
  <c r="N81" i="1"/>
  <c r="N80" i="1"/>
  <c r="N79" i="1"/>
  <c r="N78" i="1"/>
  <c r="R81" i="1"/>
  <c r="R80" i="1"/>
  <c r="R79" i="1"/>
  <c r="R78" i="1"/>
  <c r="AR54" i="1"/>
  <c r="AR53" i="1"/>
  <c r="AR52" i="1"/>
  <c r="AR51" i="1"/>
  <c r="AQ53" i="1"/>
  <c r="AQ51" i="1"/>
  <c r="AS27" i="1"/>
  <c r="AS26" i="1"/>
  <c r="AS25" i="1"/>
  <c r="AS24" i="1"/>
  <c r="AR24" i="1"/>
  <c r="AW27" i="1"/>
  <c r="AW25" i="1"/>
  <c r="AW26" i="1"/>
  <c r="AW24" i="1"/>
  <c r="C38" i="7"/>
  <c r="C39" i="7"/>
  <c r="C40" i="7"/>
  <c r="C41" i="7"/>
  <c r="C37" i="7"/>
  <c r="C29" i="7"/>
  <c r="C30" i="7"/>
  <c r="C31" i="7"/>
  <c r="C32" i="7"/>
  <c r="C28" i="7"/>
  <c r="C21" i="7"/>
  <c r="C22" i="7"/>
  <c r="C23" i="7"/>
  <c r="C24" i="7"/>
  <c r="C20" i="7"/>
  <c r="C12" i="7"/>
  <c r="C13" i="7"/>
  <c r="C14" i="7"/>
  <c r="C15" i="7"/>
  <c r="C11" i="7"/>
  <c r="C29" i="6"/>
  <c r="C30" i="6"/>
  <c r="C31" i="6"/>
  <c r="C28" i="6"/>
  <c r="C24" i="6"/>
  <c r="C23" i="6"/>
  <c r="C17" i="6"/>
  <c r="C18" i="6"/>
  <c r="C19" i="6"/>
  <c r="C16" i="6"/>
  <c r="C11" i="6"/>
  <c r="C10" i="6"/>
  <c r="C30" i="5"/>
  <c r="C31" i="5"/>
  <c r="C29" i="5"/>
  <c r="C24" i="5"/>
  <c r="C25" i="5"/>
  <c r="C23" i="5"/>
  <c r="C17" i="5"/>
  <c r="C18" i="5"/>
  <c r="C16" i="5"/>
  <c r="C11" i="5"/>
  <c r="C10" i="5"/>
  <c r="C38" i="8"/>
  <c r="C39" i="8"/>
  <c r="C40" i="8"/>
  <c r="C41" i="8"/>
  <c r="C37" i="8"/>
  <c r="C29" i="8"/>
  <c r="C30" i="8"/>
  <c r="C31" i="8"/>
  <c r="C32" i="8"/>
  <c r="C28" i="8"/>
  <c r="C21" i="8"/>
  <c r="C22" i="8"/>
  <c r="C23" i="8"/>
  <c r="C24" i="8"/>
  <c r="C20" i="8"/>
  <c r="C12" i="8"/>
  <c r="C13" i="8"/>
  <c r="C14" i="8"/>
  <c r="C15" i="8"/>
  <c r="C11" i="8"/>
  <c r="F108" i="1"/>
  <c r="E108" i="1"/>
  <c r="F107" i="1"/>
  <c r="E107" i="1"/>
  <c r="F106" i="1"/>
  <c r="E106" i="1"/>
  <c r="F81" i="1"/>
  <c r="F80" i="1"/>
  <c r="F79" i="1"/>
  <c r="F78" i="1"/>
  <c r="C63" i="4"/>
  <c r="C64" i="4"/>
  <c r="C65" i="4"/>
  <c r="C66" i="4"/>
  <c r="C67" i="4"/>
  <c r="C68" i="4"/>
  <c r="C62" i="4"/>
  <c r="C46" i="4"/>
  <c r="C47" i="4"/>
  <c r="C45" i="4"/>
  <c r="C28" i="4"/>
  <c r="C29" i="4"/>
  <c r="C30" i="4"/>
  <c r="C31" i="4"/>
  <c r="C32" i="4"/>
  <c r="C33" i="4"/>
  <c r="C27" i="4"/>
  <c r="C12" i="4"/>
  <c r="C13" i="4"/>
  <c r="C11" i="4"/>
  <c r="S8" i="4"/>
  <c r="R8" i="4"/>
  <c r="Q8" i="4"/>
  <c r="P8" i="4"/>
  <c r="O8" i="4"/>
  <c r="N8" i="4"/>
  <c r="M8" i="4"/>
  <c r="S7" i="4"/>
  <c r="R7" i="4"/>
  <c r="O7" i="4"/>
  <c r="S6" i="4"/>
  <c r="R6" i="4"/>
  <c r="Q6" i="4"/>
  <c r="P6" i="4"/>
  <c r="O6" i="4"/>
  <c r="N6" i="4"/>
  <c r="M6" i="4"/>
  <c r="S5" i="4"/>
  <c r="R5" i="4"/>
  <c r="O5" i="4"/>
  <c r="F15" i="3"/>
  <c r="C62" i="3"/>
  <c r="C63" i="3"/>
  <c r="C64" i="3"/>
  <c r="C65" i="3"/>
  <c r="C66" i="3"/>
  <c r="C67" i="3"/>
  <c r="C68" i="3"/>
  <c r="C69" i="3"/>
  <c r="C61" i="3"/>
  <c r="F50" i="3"/>
  <c r="F51" i="3"/>
  <c r="F52" i="3"/>
  <c r="F53" i="3"/>
  <c r="F54" i="3"/>
  <c r="F49" i="3"/>
  <c r="F32" i="3"/>
  <c r="F33" i="3"/>
  <c r="F34" i="3"/>
  <c r="F35" i="3"/>
  <c r="F31" i="3"/>
  <c r="F16" i="3"/>
  <c r="F17" i="3"/>
  <c r="F18" i="3"/>
  <c r="F19" i="3"/>
  <c r="F20" i="3"/>
  <c r="F21" i="3"/>
  <c r="U8" i="3"/>
  <c r="T8" i="3"/>
  <c r="S8" i="3"/>
  <c r="R8" i="3"/>
  <c r="Q8" i="3"/>
  <c r="P8" i="3"/>
  <c r="O8" i="3"/>
  <c r="N8" i="3"/>
  <c r="M8" i="3"/>
  <c r="S7" i="3"/>
  <c r="R7" i="3"/>
  <c r="Q7" i="3"/>
  <c r="P7" i="3"/>
  <c r="O7" i="3"/>
  <c r="N7" i="3"/>
  <c r="S6" i="3"/>
  <c r="Q6" i="3"/>
  <c r="P6" i="3"/>
  <c r="N6" i="3"/>
  <c r="M6" i="3"/>
  <c r="U5" i="3"/>
  <c r="T5" i="3"/>
  <c r="S5" i="3"/>
  <c r="R5" i="3"/>
  <c r="Q5" i="3"/>
  <c r="O5" i="3"/>
  <c r="N5" i="3"/>
  <c r="P100" i="1"/>
  <c r="P99" i="1"/>
  <c r="P98" i="1"/>
  <c r="O100" i="1"/>
  <c r="P97" i="1"/>
  <c r="O99" i="1"/>
  <c r="O98" i="1"/>
  <c r="N100" i="1"/>
  <c r="N99" i="1"/>
  <c r="N98" i="1"/>
  <c r="N97" i="1"/>
  <c r="P91" i="1"/>
  <c r="P90" i="1"/>
  <c r="P89" i="1"/>
  <c r="P88" i="1"/>
  <c r="O91" i="1"/>
  <c r="O90" i="1"/>
  <c r="O89" i="1"/>
  <c r="N91" i="1"/>
  <c r="N90" i="1"/>
  <c r="N89" i="1"/>
  <c r="N88" i="1"/>
  <c r="Q62" i="1"/>
  <c r="Q60" i="1"/>
  <c r="Q59" i="1"/>
  <c r="P62" i="1"/>
  <c r="P61" i="1"/>
  <c r="P60" i="1"/>
  <c r="P59" i="1"/>
  <c r="O62" i="1"/>
  <c r="O61" i="1"/>
  <c r="O60" i="1"/>
  <c r="O59" i="1"/>
  <c r="N62" i="1"/>
  <c r="N61" i="1"/>
  <c r="N60" i="1"/>
  <c r="N59" i="1"/>
  <c r="Q72" i="1"/>
  <c r="Q70" i="1"/>
  <c r="Q69" i="1"/>
  <c r="P72" i="1"/>
  <c r="P71" i="1"/>
  <c r="P70" i="1"/>
  <c r="P69" i="1"/>
  <c r="O72" i="1"/>
  <c r="O71" i="1"/>
  <c r="O70" i="1"/>
  <c r="O69" i="1"/>
  <c r="N72" i="1"/>
  <c r="N71" i="1"/>
  <c r="N70" i="1"/>
  <c r="N69" i="1"/>
  <c r="S100" i="1"/>
  <c r="R100" i="1"/>
  <c r="Q100" i="1"/>
  <c r="S99" i="1"/>
  <c r="R99" i="1"/>
  <c r="Q99" i="1"/>
  <c r="S98" i="1"/>
  <c r="R98" i="1"/>
  <c r="Q98" i="1"/>
  <c r="S97" i="1"/>
  <c r="R97" i="1"/>
  <c r="Q97" i="1"/>
  <c r="O97" i="1"/>
  <c r="S91" i="1"/>
  <c r="R91" i="1"/>
  <c r="Q91" i="1"/>
  <c r="S90" i="1"/>
  <c r="R90" i="1"/>
  <c r="Q90" i="1"/>
  <c r="S89" i="1"/>
  <c r="R89" i="1"/>
  <c r="Q89" i="1"/>
  <c r="S88" i="1"/>
  <c r="R88" i="1"/>
  <c r="Q88" i="1"/>
  <c r="O88" i="1"/>
  <c r="G100" i="1"/>
  <c r="G99" i="1"/>
  <c r="G98" i="1"/>
  <c r="G97" i="1"/>
  <c r="G91" i="1"/>
  <c r="G90" i="1"/>
  <c r="G89" i="1"/>
  <c r="G88" i="1"/>
  <c r="D99" i="1"/>
  <c r="D90" i="1"/>
  <c r="D98" i="1"/>
  <c r="D89" i="1"/>
  <c r="D97" i="1"/>
  <c r="D88" i="1"/>
  <c r="D100" i="1"/>
  <c r="D91" i="1"/>
  <c r="E98" i="1"/>
  <c r="E99" i="1"/>
  <c r="E100" i="1"/>
  <c r="E97" i="1"/>
  <c r="E89" i="1"/>
  <c r="E90" i="1"/>
  <c r="E91" i="1"/>
  <c r="E88" i="1"/>
  <c r="F98" i="1"/>
  <c r="F99" i="1"/>
  <c r="F100" i="1"/>
  <c r="F97" i="1"/>
  <c r="F89" i="1"/>
  <c r="F90" i="1"/>
  <c r="F91" i="1"/>
  <c r="F88" i="1"/>
  <c r="C99" i="1"/>
  <c r="C90" i="1"/>
  <c r="C98" i="1"/>
  <c r="C89" i="1"/>
  <c r="C97" i="1"/>
  <c r="C88" i="1"/>
  <c r="C100" i="1"/>
  <c r="C91" i="1"/>
  <c r="B99" i="1"/>
  <c r="B90" i="1"/>
  <c r="B98" i="1"/>
  <c r="B89" i="1"/>
  <c r="B97" i="1"/>
  <c r="B88" i="1"/>
  <c r="B100" i="1"/>
  <c r="B91" i="1"/>
  <c r="R72" i="1"/>
  <c r="R71" i="1"/>
  <c r="Q71" i="1"/>
  <c r="R70" i="1"/>
  <c r="R69" i="1"/>
  <c r="R62" i="1"/>
  <c r="R61" i="1"/>
  <c r="Q61" i="1"/>
  <c r="R60" i="1"/>
  <c r="R59" i="1"/>
  <c r="F70" i="1"/>
  <c r="F71" i="1"/>
  <c r="F72" i="1"/>
  <c r="F69" i="1"/>
  <c r="F61" i="1"/>
  <c r="F62" i="1"/>
  <c r="F63" i="1"/>
  <c r="F60" i="1"/>
  <c r="E71" i="1"/>
  <c r="E62" i="1"/>
  <c r="E70" i="1"/>
  <c r="E61" i="1"/>
  <c r="E69" i="1"/>
  <c r="E60" i="1"/>
  <c r="E72" i="1"/>
  <c r="E63" i="1"/>
  <c r="D71" i="1"/>
  <c r="D62" i="1"/>
  <c r="D70" i="1"/>
  <c r="D61" i="1"/>
  <c r="D69" i="1"/>
  <c r="D60" i="1"/>
  <c r="D72" i="1"/>
  <c r="D63" i="1"/>
  <c r="C71" i="1"/>
  <c r="C62" i="1"/>
  <c r="C70" i="1"/>
  <c r="C61" i="1"/>
  <c r="C72" i="1"/>
  <c r="C63" i="1"/>
  <c r="C69" i="1"/>
  <c r="C60" i="1"/>
  <c r="B71" i="1"/>
  <c r="B62" i="1"/>
  <c r="B70" i="1"/>
  <c r="B61" i="1"/>
  <c r="B69" i="1"/>
  <c r="B60" i="1"/>
  <c r="B72" i="1"/>
  <c r="B63" i="1"/>
  <c r="AO45" i="1"/>
  <c r="AO44" i="1"/>
  <c r="AO43" i="1"/>
  <c r="AO42" i="1"/>
  <c r="AN45" i="1"/>
  <c r="AN43" i="1"/>
  <c r="AK45" i="1"/>
  <c r="AK43" i="1"/>
  <c r="AU43" i="1"/>
  <c r="AV43" i="1" s="1"/>
  <c r="AU45" i="1"/>
  <c r="AV45" i="1" s="1"/>
  <c r="AU44" i="1"/>
  <c r="AV44" i="1" s="1"/>
  <c r="AU42" i="1"/>
  <c r="AV42" i="1" s="1"/>
  <c r="AU36" i="1"/>
  <c r="AV36" i="1" s="1"/>
  <c r="AU35" i="1"/>
  <c r="AV35" i="1" s="1"/>
  <c r="AU34" i="1"/>
  <c r="AV34" i="1" s="1"/>
  <c r="AU33" i="1"/>
  <c r="AV33" i="1" s="1"/>
  <c r="AO36" i="1"/>
  <c r="AO35" i="1"/>
  <c r="AO34" i="1"/>
  <c r="AO33" i="1"/>
  <c r="AK36" i="1"/>
  <c r="AK34" i="1"/>
  <c r="AR18" i="1"/>
  <c r="AR17" i="1"/>
  <c r="AR16" i="1"/>
  <c r="AR15" i="1"/>
  <c r="AO18" i="1"/>
  <c r="AO17" i="1"/>
  <c r="AO16" i="1"/>
  <c r="AW18" i="1"/>
  <c r="AX18" i="1" s="1"/>
  <c r="AW17" i="1"/>
  <c r="AX17" i="1" s="1"/>
  <c r="AW16" i="1"/>
  <c r="AX16" i="1" s="1"/>
  <c r="AW15" i="1"/>
  <c r="AX15" i="1" s="1"/>
  <c r="AW9" i="1"/>
  <c r="AX9" i="1" s="1"/>
  <c r="AW8" i="1"/>
  <c r="AX8" i="1" s="1"/>
  <c r="AW7" i="1"/>
  <c r="AX7" i="1" s="1"/>
  <c r="AW6" i="1"/>
  <c r="AX6" i="1" s="1"/>
  <c r="AR9" i="1"/>
  <c r="AO9" i="1"/>
  <c r="AR8" i="1"/>
  <c r="AO8" i="1"/>
  <c r="AR7" i="1"/>
  <c r="AO7" i="1"/>
  <c r="AR6" i="1"/>
  <c r="S54" i="1"/>
  <c r="R54" i="1"/>
  <c r="Q54" i="1"/>
  <c r="P54" i="1"/>
  <c r="O54" i="1"/>
  <c r="N54" i="1"/>
  <c r="M54" i="1"/>
  <c r="S53" i="1"/>
  <c r="R53" i="1"/>
  <c r="O53" i="1"/>
  <c r="Q52" i="1"/>
  <c r="S52" i="1"/>
  <c r="R52" i="1"/>
  <c r="P52" i="1"/>
  <c r="O52" i="1"/>
  <c r="N52" i="1"/>
  <c r="M52" i="1"/>
  <c r="R51" i="1"/>
  <c r="O51" i="1"/>
  <c r="S51" i="1"/>
  <c r="S45" i="1"/>
  <c r="R45" i="1"/>
  <c r="Q45" i="1"/>
  <c r="O45" i="1"/>
  <c r="N45" i="1"/>
  <c r="M45" i="1"/>
  <c r="S44" i="1"/>
  <c r="R44" i="1"/>
  <c r="O44" i="1"/>
  <c r="S43" i="1"/>
  <c r="R43" i="1"/>
  <c r="Q43" i="1"/>
  <c r="O43" i="1"/>
  <c r="N43" i="1"/>
  <c r="M43" i="1"/>
  <c r="S42" i="1"/>
  <c r="R42" i="1"/>
  <c r="O42" i="1"/>
  <c r="O34" i="1"/>
  <c r="S36" i="1"/>
  <c r="R36" i="1"/>
  <c r="P36" i="1"/>
  <c r="O36" i="1"/>
  <c r="N36" i="1"/>
  <c r="M36" i="1"/>
  <c r="S35" i="1"/>
  <c r="R35" i="1"/>
  <c r="O35" i="1"/>
  <c r="S34" i="1"/>
  <c r="R34" i="1"/>
  <c r="P34" i="1"/>
  <c r="N34" i="1"/>
  <c r="M34" i="1"/>
  <c r="S33" i="1"/>
  <c r="R33" i="1"/>
  <c r="O33" i="1"/>
  <c r="U27" i="1"/>
  <c r="T27" i="1"/>
  <c r="S27" i="1"/>
  <c r="R27" i="1"/>
  <c r="Q27" i="1"/>
  <c r="P27" i="1"/>
  <c r="O27" i="1"/>
  <c r="N27" i="1"/>
  <c r="M27" i="1"/>
  <c r="S26" i="1"/>
  <c r="R26" i="1"/>
  <c r="Q26" i="1"/>
  <c r="P26" i="1"/>
  <c r="O26" i="1"/>
  <c r="N26" i="1"/>
  <c r="S25" i="1"/>
  <c r="Q25" i="1"/>
  <c r="P25" i="1"/>
  <c r="N25" i="1"/>
  <c r="M25" i="1"/>
  <c r="U24" i="1"/>
  <c r="T24" i="1"/>
  <c r="S24" i="1"/>
  <c r="R24" i="1"/>
  <c r="Q24" i="1"/>
  <c r="O24" i="1"/>
  <c r="N24" i="1"/>
  <c r="U18" i="1"/>
  <c r="T18" i="1"/>
  <c r="S18" i="1"/>
  <c r="R18" i="1"/>
  <c r="Q18" i="1"/>
  <c r="P18" i="1"/>
  <c r="O18" i="1"/>
  <c r="N18" i="1"/>
  <c r="M18" i="1"/>
  <c r="S17" i="1"/>
  <c r="R17" i="1"/>
  <c r="Q17" i="1"/>
  <c r="P17" i="1"/>
  <c r="O17" i="1"/>
  <c r="N17" i="1"/>
  <c r="S16" i="1"/>
  <c r="Q16" i="1"/>
  <c r="P16" i="1"/>
  <c r="N16" i="1"/>
  <c r="U15" i="1"/>
  <c r="T15" i="1"/>
  <c r="S15" i="1"/>
  <c r="R15" i="1"/>
  <c r="Q15" i="1"/>
  <c r="O15" i="1"/>
  <c r="N15" i="1"/>
  <c r="M16" i="1"/>
  <c r="U9" i="1"/>
  <c r="T9" i="1"/>
  <c r="S9" i="1"/>
  <c r="R9" i="1"/>
  <c r="Q9" i="1"/>
  <c r="P9" i="1"/>
  <c r="O9" i="1"/>
  <c r="N9" i="1"/>
  <c r="U6" i="1"/>
  <c r="T6" i="1"/>
  <c r="S8" i="1"/>
  <c r="S7" i="1"/>
  <c r="S6" i="1"/>
  <c r="R8" i="1"/>
  <c r="R6" i="1"/>
  <c r="Q8" i="1"/>
  <c r="Q7" i="1"/>
  <c r="Q6" i="1"/>
  <c r="P8" i="1"/>
  <c r="P7" i="1"/>
  <c r="O6" i="1"/>
  <c r="N8" i="1"/>
  <c r="N7" i="1"/>
  <c r="N6" i="1"/>
  <c r="M9" i="1"/>
  <c r="M7" i="1"/>
</calcChain>
</file>

<file path=xl/sharedStrings.xml><?xml version="1.0" encoding="utf-8"?>
<sst xmlns="http://schemas.openxmlformats.org/spreadsheetml/2006/main" count="1089" uniqueCount="94">
  <si>
    <t>Mesial Roots</t>
  </si>
  <si>
    <t>Right</t>
  </si>
  <si>
    <t>Skull Types</t>
  </si>
  <si>
    <t>Brachy</t>
  </si>
  <si>
    <t>Dolicho</t>
  </si>
  <si>
    <t>Mesati</t>
  </si>
  <si>
    <t>Total</t>
  </si>
  <si>
    <t>1,2</t>
  </si>
  <si>
    <t>1,2,3</t>
  </si>
  <si>
    <t>1,2,5</t>
  </si>
  <si>
    <t>2,3</t>
  </si>
  <si>
    <t>2,5</t>
  </si>
  <si>
    <t>total</t>
  </si>
  <si>
    <t>Left</t>
  </si>
  <si>
    <t>Left and Right Combo</t>
  </si>
  <si>
    <t>Distal Roots</t>
  </si>
  <si>
    <t>Left and Right Combination</t>
  </si>
  <si>
    <t>total pop</t>
  </si>
  <si>
    <t>Percentage in Section 5</t>
  </si>
  <si>
    <t>Percentages in each section</t>
  </si>
  <si>
    <t>Not in Section 5</t>
  </si>
  <si>
    <t>Percentage not in section 5</t>
  </si>
  <si>
    <t>Other sections</t>
  </si>
  <si>
    <t>Group A</t>
  </si>
  <si>
    <t>Group B</t>
  </si>
  <si>
    <t>Group C</t>
  </si>
  <si>
    <t>Group D</t>
  </si>
  <si>
    <t>Group E</t>
  </si>
  <si>
    <t>Percentages</t>
  </si>
  <si>
    <t>7,8,9,11</t>
  </si>
  <si>
    <t>8,9,12</t>
  </si>
  <si>
    <t>9,11</t>
  </si>
  <si>
    <t>9,11,12</t>
  </si>
  <si>
    <t>9,12</t>
  </si>
  <si>
    <t>Percentage not in section 6</t>
  </si>
  <si>
    <t>Percentage not in section 12</t>
  </si>
  <si>
    <t>Not in Section 12</t>
  </si>
  <si>
    <t xml:space="preserve">Mesial Roots Total </t>
  </si>
  <si>
    <t>Brachycephalic</t>
  </si>
  <si>
    <t xml:space="preserve">Total </t>
  </si>
  <si>
    <t>Tot Pop</t>
  </si>
  <si>
    <t>Section 1,2</t>
  </si>
  <si>
    <t>Section 1,2,3</t>
  </si>
  <si>
    <t>Section 2</t>
  </si>
  <si>
    <t>Section 2,3</t>
  </si>
  <si>
    <t>Section 2,5</t>
  </si>
  <si>
    <t>Section 6</t>
  </si>
  <si>
    <t>Section 13</t>
  </si>
  <si>
    <t>Section 1</t>
  </si>
  <si>
    <t>Section 1,2,5</t>
  </si>
  <si>
    <t>Total Population</t>
  </si>
  <si>
    <t>Section 7,8,9,11</t>
  </si>
  <si>
    <t>Section 8,9,12</t>
  </si>
  <si>
    <t>Section 9</t>
  </si>
  <si>
    <t>Section 9,11</t>
  </si>
  <si>
    <t>Section 9,11,12</t>
  </si>
  <si>
    <t>Section 9,12</t>
  </si>
  <si>
    <t>Percentage in Section 12</t>
  </si>
  <si>
    <t>IOC in section 5- Combo</t>
  </si>
  <si>
    <t>IOC in section 5 Right</t>
  </si>
  <si>
    <t xml:space="preserve">IOC in section 5-left </t>
  </si>
  <si>
    <t>other</t>
  </si>
  <si>
    <t>Other</t>
  </si>
  <si>
    <t>IOC in section 12 right</t>
  </si>
  <si>
    <t>IOC in section 12 left</t>
  </si>
  <si>
    <t>IOC in section 12 combo</t>
  </si>
  <si>
    <t>Combo</t>
  </si>
  <si>
    <t>Total Pop</t>
  </si>
  <si>
    <t>Other Sections* Do Not Include Section 12</t>
  </si>
  <si>
    <t>No portion in Section 12</t>
  </si>
  <si>
    <t>No portion in Section 5</t>
  </si>
  <si>
    <r>
      <rPr>
        <b/>
        <sz val="11"/>
        <color theme="1"/>
        <rFont val="Calibri"/>
        <family val="2"/>
        <scheme val="minor"/>
      </rPr>
      <t xml:space="preserve">Group A: </t>
    </r>
    <r>
      <rPr>
        <sz val="11"/>
        <color theme="1"/>
        <rFont val="Calibri"/>
        <family val="2"/>
        <scheme val="minor"/>
      </rPr>
      <t xml:space="preserve">None of IOC is in Section 5; </t>
    </r>
    <r>
      <rPr>
        <b/>
        <sz val="11"/>
        <color theme="1"/>
        <rFont val="Calibri"/>
        <family val="2"/>
        <scheme val="minor"/>
      </rPr>
      <t xml:space="preserve">Group B: </t>
    </r>
    <r>
      <rPr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</rPr>
      <t xml:space="preserve">≤1/3 in Section 5; </t>
    </r>
    <r>
      <rPr>
        <b/>
        <sz val="11"/>
        <color theme="1"/>
        <rFont val="Calibri"/>
        <family val="2"/>
      </rPr>
      <t xml:space="preserve">Group C: </t>
    </r>
    <r>
      <rPr>
        <sz val="11"/>
        <color theme="1"/>
        <rFont val="Calibri"/>
        <family val="2"/>
      </rPr>
      <t>1/3≤</t>
    </r>
    <r>
      <rPr>
        <sz val="11"/>
        <color theme="1"/>
        <rFont val="Calibri"/>
        <family val="2"/>
        <scheme val="minor"/>
      </rPr>
      <t>2/3 of IOC in Section 5;</t>
    </r>
    <r>
      <rPr>
        <b/>
        <sz val="11"/>
        <color theme="1"/>
        <rFont val="Calibri"/>
        <family val="2"/>
        <scheme val="minor"/>
      </rPr>
      <t xml:space="preserve"> Group D:</t>
    </r>
    <r>
      <rPr>
        <sz val="11"/>
        <color theme="1"/>
        <rFont val="Calibri"/>
        <family val="2"/>
        <scheme val="minor"/>
      </rPr>
      <t xml:space="preserve"> 2/3&lt;1 of IOC In Section 5; </t>
    </r>
    <r>
      <rPr>
        <b/>
        <sz val="11"/>
        <color theme="1"/>
        <rFont val="Calibri"/>
        <family val="2"/>
        <scheme val="minor"/>
      </rPr>
      <t xml:space="preserve">Group E: </t>
    </r>
    <r>
      <rPr>
        <sz val="11"/>
        <color theme="1"/>
        <rFont val="Calibri"/>
        <family val="2"/>
        <scheme val="minor"/>
      </rPr>
      <t>IOC is fully in Section 5</t>
    </r>
  </si>
  <si>
    <t>Legend for Figure:</t>
  </si>
  <si>
    <t>Percentages IOC in section 12 combo</t>
  </si>
  <si>
    <t>Not in section 12</t>
  </si>
  <si>
    <t>Section 1,2,5 and Section 2,5</t>
  </si>
  <si>
    <t>Section 8,9, 12; Section 9, 11, 12; Section 9, 12</t>
  </si>
  <si>
    <t>Section 8,9,12; Section 9,11,12; and Section 9,12</t>
  </si>
  <si>
    <t>Mesial Roots Section 5 Groups</t>
  </si>
  <si>
    <t>Distal Combo Section 12 Groups</t>
  </si>
  <si>
    <r>
      <rPr>
        <b/>
        <sz val="11"/>
        <color theme="1"/>
        <rFont val="Calibri"/>
        <family val="2"/>
        <scheme val="minor"/>
      </rPr>
      <t xml:space="preserve">Group A: </t>
    </r>
    <r>
      <rPr>
        <sz val="11"/>
        <color theme="1"/>
        <rFont val="Calibri"/>
        <family val="2"/>
        <scheme val="minor"/>
      </rPr>
      <t xml:space="preserve">None of IOC is in Section 12; </t>
    </r>
    <r>
      <rPr>
        <b/>
        <sz val="11"/>
        <color theme="1"/>
        <rFont val="Calibri"/>
        <family val="2"/>
        <scheme val="minor"/>
      </rPr>
      <t xml:space="preserve">Group B: </t>
    </r>
    <r>
      <rPr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</rPr>
      <t xml:space="preserve">≤1/3 in Section 12; </t>
    </r>
    <r>
      <rPr>
        <b/>
        <sz val="11"/>
        <color theme="1"/>
        <rFont val="Calibri"/>
        <family val="2"/>
      </rPr>
      <t xml:space="preserve">Group C: </t>
    </r>
    <r>
      <rPr>
        <sz val="11"/>
        <color theme="1"/>
        <rFont val="Calibri"/>
        <family val="2"/>
      </rPr>
      <t>1/3≤</t>
    </r>
    <r>
      <rPr>
        <sz val="11"/>
        <color theme="1"/>
        <rFont val="Calibri"/>
        <family val="2"/>
        <scheme val="minor"/>
      </rPr>
      <t>2/3 of IOC in Section 12;</t>
    </r>
    <r>
      <rPr>
        <b/>
        <sz val="11"/>
        <color theme="1"/>
        <rFont val="Calibri"/>
        <family val="2"/>
        <scheme val="minor"/>
      </rPr>
      <t xml:space="preserve"> Group D:</t>
    </r>
    <r>
      <rPr>
        <sz val="11"/>
        <color theme="1"/>
        <rFont val="Calibri"/>
        <family val="2"/>
        <scheme val="minor"/>
      </rPr>
      <t xml:space="preserve"> 2/3&lt;1 of IOC In Section 12; </t>
    </r>
    <r>
      <rPr>
        <b/>
        <sz val="11"/>
        <color theme="1"/>
        <rFont val="Calibri"/>
        <family val="2"/>
        <scheme val="minor"/>
      </rPr>
      <t xml:space="preserve">Group E: </t>
    </r>
    <r>
      <rPr>
        <sz val="11"/>
        <color theme="1"/>
        <rFont val="Calibri"/>
        <family val="2"/>
        <scheme val="minor"/>
      </rPr>
      <t>IOC is fully in Section 12</t>
    </r>
  </si>
  <si>
    <t>Section1,2,5 and Section 2,5</t>
  </si>
  <si>
    <t xml:space="preserve">Section 13 </t>
  </si>
  <si>
    <t>Section 13 or not</t>
  </si>
  <si>
    <t>Percentage Section 13 or not</t>
  </si>
  <si>
    <t>Distal root</t>
  </si>
  <si>
    <t xml:space="preserve">Mesial and Distal Roots </t>
  </si>
  <si>
    <t>Mesial and Distal Roots</t>
  </si>
  <si>
    <t>Meso</t>
  </si>
  <si>
    <t xml:space="preserve">Other </t>
  </si>
  <si>
    <t xml:space="preserve">total </t>
  </si>
  <si>
    <t>Total pop</t>
  </si>
  <si>
    <t xml:space="preserve">Not in Section 13 </t>
  </si>
  <si>
    <t>Not in Section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</si>
</sst>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0" xfId="0" applyFont="1" applyFill="1"/>
    <xf numFmtId="0" fontId="2" fillId="0" borderId="0" xfId="0" applyFont="1"/>
    <xf numFmtId="2" fontId="0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/>
    <xf numFmtId="0" fontId="0" fillId="0" borderId="0" xfId="0" applyFill="1"/>
    <xf numFmtId="0" fontId="0" fillId="0" borderId="1" xfId="0" applyNumberFormat="1" applyFont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/>
    <xf numFmtId="0" fontId="0" fillId="0" borderId="1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9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NumberFormat="1" applyFont="1"/>
    <xf numFmtId="10" fontId="0" fillId="0" borderId="0" xfId="1" applyNumberFormat="1" applyFont="1"/>
    <xf numFmtId="164" fontId="0" fillId="0" borderId="0" xfId="0" applyNumberFormat="1"/>
    <xf numFmtId="10" fontId="0" fillId="2" borderId="1" xfId="1" applyNumberFormat="1" applyFont="1" applyFill="1" applyBorder="1" applyAlignment="1">
      <alignment horizontal="center"/>
    </xf>
    <xf numFmtId="10" fontId="0" fillId="0" borderId="1" xfId="1" applyNumberFormat="1" applyFont="1" applyBorder="1"/>
    <xf numFmtId="0" fontId="0" fillId="3" borderId="0" xfId="0" applyFill="1"/>
    <xf numFmtId="10" fontId="0" fillId="0" borderId="1" xfId="1" applyNumberFormat="1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7" fillId="0" borderId="0" xfId="0" applyFont="1"/>
    <xf numFmtId="164" fontId="7" fillId="0" borderId="0" xfId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Brachycephalic</a:t>
            </a:r>
            <a:r>
              <a:rPr lang="en-US" sz="1600" b="1" baseline="0"/>
              <a:t> Skull Type</a:t>
            </a:r>
          </a:p>
          <a:p>
            <a:pPr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36B-4B32-ADD8-9FD1106A85F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6B-4B32-ADD8-9FD1106A85F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36B-4B32-ADD8-9FD1106A85F3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6B-4B32-ADD8-9FD1106A85F3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B-4B32-ADD8-9FD1106A85F3}"/>
              </c:ext>
            </c:extLst>
          </c:dPt>
          <c:dPt>
            <c:idx val="5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36B-4B32-ADD8-9FD1106A85F3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B-4B32-ADD8-9FD1106A85F3}"/>
              </c:ext>
            </c:extLst>
          </c:dPt>
          <c:dLbls>
            <c:dLbl>
              <c:idx val="1"/>
              <c:layout>
                <c:manualLayout>
                  <c:x val="8.2487309644670048E-2"/>
                  <c:y val="3.9032006245120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6B-4B32-ADD8-9FD1106A85F3}"/>
                </c:ext>
              </c:extLst>
            </c:dLbl>
            <c:dLbl>
              <c:idx val="2"/>
              <c:layout>
                <c:manualLayout>
                  <c:x val="1.8266324663962458E-2"/>
                  <c:y val="-8.1937651247633039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B36B-4B32-ADD8-9FD1106A85F3}"/>
                </c:ext>
              </c:extLst>
            </c:dLbl>
            <c:dLbl>
              <c:idx val="3"/>
              <c:layout>
                <c:manualLayout>
                  <c:x val="0.10998307952622674"/>
                  <c:y val="-1.0822510822510822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" lastClr="FFFFFF">
                      <a:lumMod val="8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B36B-4B32-ADD8-9FD1106A85F3}"/>
                </c:ext>
              </c:extLst>
            </c:dLbl>
            <c:dLbl>
              <c:idx val="4"/>
              <c:layout>
                <c:manualLayout>
                  <c:x val="2.9162192794082412E-3"/>
                  <c:y val="0.11041570708953868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B36B-4B32-ADD8-9FD1106A85F3}"/>
                </c:ext>
              </c:extLst>
            </c:dLbl>
            <c:dLbl>
              <c:idx val="5"/>
              <c:layout>
                <c:manualLayout>
                  <c:x val="-6.9796954314720855E-2"/>
                  <c:y val="3.90320062451209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6B-4B32-ADD8-9FD1106A85F3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Mesial Roots'!$H$15:$H$21</c:f>
              <c:strCache>
                <c:ptCount val="7"/>
                <c:pt idx="0">
                  <c:v>Section 1,2</c:v>
                </c:pt>
                <c:pt idx="1">
                  <c:v>Section 1,2,3</c:v>
                </c:pt>
                <c:pt idx="2">
                  <c:v>Section 2</c:v>
                </c:pt>
                <c:pt idx="3">
                  <c:v>Section 2,3</c:v>
                </c:pt>
                <c:pt idx="4">
                  <c:v>Section 2,5</c:v>
                </c:pt>
                <c:pt idx="5">
                  <c:v>Section 6</c:v>
                </c:pt>
                <c:pt idx="6">
                  <c:v>Section 13</c:v>
                </c:pt>
              </c:strCache>
            </c:strRef>
          </c:cat>
          <c:val>
            <c:numRef>
              <c:f>'Pie Chart Mesial Roots'!$I$15:$I$21</c:f>
              <c:numCache>
                <c:formatCode>0.00%</c:formatCode>
                <c:ptCount val="7"/>
                <c:pt idx="0">
                  <c:v>8.7499999999999994E-2</c:v>
                </c:pt>
                <c:pt idx="1">
                  <c:v>2.5000000000000001E-2</c:v>
                </c:pt>
                <c:pt idx="2" formatCode="0%">
                  <c:v>0.35</c:v>
                </c:pt>
                <c:pt idx="3">
                  <c:v>6.25E-2</c:v>
                </c:pt>
                <c:pt idx="4" formatCode="0%">
                  <c:v>0.4</c:v>
                </c:pt>
                <c:pt idx="5">
                  <c:v>2.5000000000000001E-2</c:v>
                </c:pt>
                <c:pt idx="6" formatCode="0%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B-4B32-ADD8-9FD1106A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Dolichocephalic</a:t>
            </a:r>
            <a:r>
              <a:rPr lang="en-US" sz="1600" b="1" baseline="0"/>
              <a:t> Skull Type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100-41B1-B3DD-0A5D4DBA76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00-41B1-B3DD-0A5D4DBA768B}"/>
              </c:ext>
            </c:extLst>
          </c:dPt>
          <c:dLbls>
            <c:dLbl>
              <c:idx val="0"/>
              <c:layout>
                <c:manualLayout>
                  <c:x val="-1.1662291060781674E-16"/>
                  <c:y val="-0.16666666666666671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266744805754241"/>
                      <c:h val="0.2285527850685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100-41B1-B3DD-0A5D4DBA768B}"/>
                </c:ext>
              </c:extLst>
            </c:dLbl>
            <c:dLbl>
              <c:idx val="1"/>
              <c:layout>
                <c:manualLayout>
                  <c:x val="-1.3653052433331359E-2"/>
                  <c:y val="-6.9444444444444448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3100-41B1-B3DD-0A5D4DBA768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Mesial Sec 5'!$H$16:$H$17</c:f>
              <c:strCache>
                <c:ptCount val="2"/>
                <c:pt idx="0">
                  <c:v>Section1,2,5 and Section 2,5</c:v>
                </c:pt>
                <c:pt idx="1">
                  <c:v>No portion in Section 5</c:v>
                </c:pt>
              </c:strCache>
            </c:strRef>
          </c:cat>
          <c:val>
            <c:numRef>
              <c:f>'Pie Chart Mesial Sec 5'!$I$16:$I$17</c:f>
              <c:numCache>
                <c:formatCode>0.00%</c:formatCode>
                <c:ptCount val="2"/>
                <c:pt idx="0">
                  <c:v>0.47499999999999998</c:v>
                </c:pt>
                <c:pt idx="1">
                  <c:v>0.52500000000000002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0-41B1-B3DD-0A5D4DBA7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Mesocephalic</a:t>
            </a:r>
            <a:r>
              <a:rPr lang="en-US" sz="1600" b="1" baseline="0"/>
              <a:t> Skull Type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6D7-4102-B247-F2BC268FA2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D7-4102-B247-F2BC268FA263}"/>
              </c:ext>
            </c:extLst>
          </c:dPt>
          <c:dLbls>
            <c:dLbl>
              <c:idx val="0"/>
              <c:layout>
                <c:manualLayout>
                  <c:x val="2.5252611704169391E-2"/>
                  <c:y val="7.40744386118401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59556191839653"/>
                      <c:h val="0.159108340624088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6D7-4102-B247-F2BC268FA263}"/>
                </c:ext>
              </c:extLst>
            </c:dLbl>
            <c:dLbl>
              <c:idx val="1"/>
              <c:layout>
                <c:manualLayout>
                  <c:x val="-7.3599381899781643E-2"/>
                  <c:y val="-7.4074074074073987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901510828932945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6D7-4102-B247-F2BC268FA263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Mesial Sec 5'!$H$23:$H$24</c:f>
              <c:strCache>
                <c:ptCount val="2"/>
                <c:pt idx="0">
                  <c:v>Section 1,2,5 and Section 2,5</c:v>
                </c:pt>
                <c:pt idx="1">
                  <c:v>No portion in Section 5</c:v>
                </c:pt>
              </c:strCache>
            </c:strRef>
          </c:cat>
          <c:val>
            <c:numRef>
              <c:f>'Pie Chart Mesial Sec 5'!$I$23:$I$24</c:f>
              <c:numCache>
                <c:formatCode>0.00%</c:formatCode>
                <c:ptCount val="2"/>
                <c:pt idx="0">
                  <c:v>0.16300000000000001</c:v>
                </c:pt>
                <c:pt idx="1">
                  <c:v>0.83750000000000002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7-4102-B247-F2BC268FA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Total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425-4DF2-A3A7-5331DF9152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25-4DF2-A3A7-5331DF9152BB}"/>
              </c:ext>
            </c:extLst>
          </c:dPt>
          <c:dLbls>
            <c:dLbl>
              <c:idx val="1"/>
              <c:layout>
                <c:manualLayout>
                  <c:x val="9.551485484466533E-3"/>
                  <c:y val="5.5555555555555552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747254455035225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425-4DF2-A3A7-5331DF9152B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Mesial Sec 5'!$H$29:$H$30</c:f>
              <c:strCache>
                <c:ptCount val="2"/>
                <c:pt idx="0">
                  <c:v>Section 1,2,5 and Section 2,5</c:v>
                </c:pt>
                <c:pt idx="1">
                  <c:v>No portion in Section 5</c:v>
                </c:pt>
              </c:strCache>
            </c:strRef>
          </c:cat>
          <c:val>
            <c:numRef>
              <c:f>'Pie Chart Mesial Sec 5'!$I$29:$I$30</c:f>
              <c:numCache>
                <c:formatCode>0.00%</c:formatCode>
                <c:ptCount val="2"/>
                <c:pt idx="0">
                  <c:v>0.34599999999999997</c:v>
                </c:pt>
                <c:pt idx="1">
                  <c:v>0.6542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5-4DF2-A3A7-5331DF915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Brachycephalic</a:t>
            </a:r>
            <a:r>
              <a:rPr lang="en-US" sz="1600" b="1" baseline="0"/>
              <a:t> Skull Type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B6-4325-B173-EBB5F69AFB4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B6-4325-B173-EBB5F69AFB47}"/>
              </c:ext>
            </c:extLst>
          </c:dPt>
          <c:dLbls>
            <c:dLbl>
              <c:idx val="0"/>
              <c:layout>
                <c:manualLayout>
                  <c:x val="6.3888888888888787E-2"/>
                  <c:y val="-2.31481481481481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6-4325-B173-EBB5F69AFB47}"/>
                </c:ext>
              </c:extLst>
            </c:dLbl>
            <c:dLbl>
              <c:idx val="1"/>
              <c:layout>
                <c:manualLayout>
                  <c:x val="-0.24587329308501829"/>
                  <c:y val="-0.10396812898387701"/>
                </c:manualLayout>
              </c:layout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8B6-4325-B173-EBB5F69AFB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Section 12'!$E$10:$E$11</c:f>
              <c:strCache>
                <c:ptCount val="2"/>
                <c:pt idx="0">
                  <c:v>Section 9,12</c:v>
                </c:pt>
                <c:pt idx="1">
                  <c:v>No portion in Section 12</c:v>
                </c:pt>
              </c:strCache>
            </c:strRef>
          </c:cat>
          <c:val>
            <c:numRef>
              <c:f>'Pie Chart Section 12'!$F$10:$F$11</c:f>
              <c:numCache>
                <c:formatCode>0.0%</c:formatCode>
                <c:ptCount val="2"/>
                <c:pt idx="0">
                  <c:v>2.5000000000000001E-2</c:v>
                </c:pt>
                <c:pt idx="1">
                  <c:v>0.97499999999999998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6-4325-B173-EBB5F69A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Dolichocephalic</a:t>
            </a:r>
            <a:r>
              <a:rPr lang="en-US" sz="1600" b="1" baseline="0"/>
              <a:t> Skull Type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0C-4873-91DD-23844A73709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E3B-4637-9D97-EE2E02AE1CD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3B-4637-9D97-EE2E02AE1CDC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01907663840864"/>
                      <c:h val="0.287281431370374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0C-4873-91DD-23844A73709C}"/>
                </c:ext>
              </c:extLst>
            </c:dLbl>
            <c:dLbl>
              <c:idx val="1"/>
              <c:layout>
                <c:manualLayout>
                  <c:x val="-6.7049808429118845E-3"/>
                  <c:y val="-3.7167572363313743E-2"/>
                </c:manualLayout>
              </c:layout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3E3B-4637-9D97-EE2E02AE1CD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Section 12'!$H$16:$H$18</c:f>
              <c:strCache>
                <c:ptCount val="2"/>
                <c:pt idx="0">
                  <c:v>Section 8,9,12; Section 9,11,12; and Section 9,12</c:v>
                </c:pt>
                <c:pt idx="1">
                  <c:v>No portion in Section 12</c:v>
                </c:pt>
              </c:strCache>
            </c:strRef>
          </c:cat>
          <c:val>
            <c:numRef>
              <c:f>'Pie Chart Section 12'!$I$16:$I$18</c:f>
              <c:numCache>
                <c:formatCode>0.0%</c:formatCode>
                <c:ptCount val="3"/>
                <c:pt idx="0" formatCode="0.00%">
                  <c:v>0.46300000000000002</c:v>
                </c:pt>
                <c:pt idx="1">
                  <c:v>0.53749999999999998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B-4637-9D97-EE2E02AE1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800" b="1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Mesocephalic Skull Type</a:t>
            </a:r>
            <a:endParaRPr lang="en-US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85C-4147-BE30-FBF65E418E7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C-4147-BE30-FBF65E418E7D}"/>
              </c:ext>
            </c:extLst>
          </c:dPt>
          <c:dLbls>
            <c:dLbl>
              <c:idx val="0"/>
              <c:layout>
                <c:manualLayout>
                  <c:x val="1.3117870722433461E-2"/>
                  <c:y val="1.3182674199623309E-2"/>
                </c:manualLayout>
              </c:layout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185C-4147-BE30-FBF65E418E7D}"/>
                </c:ext>
              </c:extLst>
            </c:dLbl>
            <c:dLbl>
              <c:idx val="1"/>
              <c:layout>
                <c:manualLayout>
                  <c:x val="-1.9455006337135657E-2"/>
                  <c:y val="-0.16666666666666666"/>
                </c:manualLayout>
              </c:layout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85C-4147-BE30-FBF65E418E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Section 12'!$E$23:$E$24</c:f>
              <c:strCache>
                <c:ptCount val="2"/>
                <c:pt idx="0">
                  <c:v>Section 9,12</c:v>
                </c:pt>
                <c:pt idx="1">
                  <c:v>No portion in Section 12</c:v>
                </c:pt>
              </c:strCache>
            </c:strRef>
          </c:cat>
          <c:val>
            <c:numRef>
              <c:f>'Pie Chart Section 12'!$F$23:$F$24</c:f>
              <c:numCache>
                <c:formatCode>0.00%</c:formatCode>
                <c:ptCount val="2"/>
                <c:pt idx="0">
                  <c:v>0.375</c:v>
                </c:pt>
                <c:pt idx="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C-4147-BE30-FBF65E418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Total Population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A9-4557-9753-7C7BAB46AC8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9C-406A-BFDC-3467C486A7E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19C-406A-BFDC-3467C486A7EE}"/>
              </c:ext>
            </c:extLst>
          </c:dPt>
          <c:dLbls>
            <c:dLbl>
              <c:idx val="0"/>
              <c:layout>
                <c:manualLayout>
                  <c:x val="2.6879470457414196E-2"/>
                  <c:y val="3.1915343209217469E-2"/>
                </c:manualLayout>
              </c:layout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059325599567226"/>
                      <c:h val="0.32046391446831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A9-4557-9753-7C7BAB46AC80}"/>
                </c:ext>
              </c:extLst>
            </c:dLbl>
            <c:dLbl>
              <c:idx val="1"/>
              <c:layout>
                <c:manualLayout>
                  <c:x val="-4.3889122638296182E-2"/>
                  <c:y val="-0.16050647270786067"/>
                </c:manualLayout>
              </c:layout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C19C-406A-BFDC-3467C486A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Section 12'!$H$28:$H$30</c:f>
              <c:strCache>
                <c:ptCount val="2"/>
                <c:pt idx="0">
                  <c:v>Section 8,9,12; Section 9,11,12; and Section 9,12</c:v>
                </c:pt>
                <c:pt idx="1">
                  <c:v>No portion in Section 12</c:v>
                </c:pt>
              </c:strCache>
            </c:strRef>
          </c:cat>
          <c:val>
            <c:numRef>
              <c:f>'Pie Chart Section 12'!$I$28:$I$30</c:f>
              <c:numCache>
                <c:formatCode>0.00%</c:formatCode>
                <c:ptCount val="3"/>
                <c:pt idx="0">
                  <c:v>0.28799999999999998</c:v>
                </c:pt>
                <c:pt idx="1">
                  <c:v>0.71250000000000002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C-406A-BFDC-3467C486A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Brachycephalic</a:t>
            </a:r>
            <a:r>
              <a:rPr lang="en-US" sz="1600" b="1" baseline="0"/>
              <a:t> Skull Type</a:t>
            </a:r>
          </a:p>
          <a:p>
            <a:pPr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E4-45F4-9E22-FB9F09E6C6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E4-45F4-9E22-FB9F09E6C6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E4-45F4-9E22-FB9F09E6C6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E4-45F4-9E22-FB9F09E6C688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FC9-409F-9345-659E7754EE06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C9-409F-9345-659E7754EE06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5'!$E$11:$E$15</c:f>
              <c:strCache>
                <c:ptCount val="5"/>
                <c:pt idx="0">
                  <c:v>Group A</c:v>
                </c:pt>
                <c:pt idx="1">
                  <c:v>Group B</c:v>
                </c:pt>
                <c:pt idx="2">
                  <c:v>Group C</c:v>
                </c:pt>
                <c:pt idx="3">
                  <c:v>Group D</c:v>
                </c:pt>
                <c:pt idx="4">
                  <c:v>Group E</c:v>
                </c:pt>
              </c:strCache>
            </c:strRef>
          </c:cat>
          <c:val>
            <c:numRef>
              <c:f>'Pie Portion 5'!$F$11:$F$15</c:f>
              <c:numCache>
                <c:formatCode>0.0%</c:formatCode>
                <c:ptCount val="5"/>
                <c:pt idx="0">
                  <c:v>0.6</c:v>
                </c:pt>
                <c:pt idx="1">
                  <c:v>0.1</c:v>
                </c:pt>
                <c:pt idx="2">
                  <c:v>0.26250000000000001</c:v>
                </c:pt>
                <c:pt idx="3">
                  <c:v>3.7499999999999999E-2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9-409F-9345-659E7754E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Dolichocephalic</a:t>
            </a:r>
            <a:r>
              <a:rPr lang="en-US" sz="1600" b="1" baseline="0"/>
              <a:t> Skull Type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0E-46DC-BBF6-3A5C726ADA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0E-46DC-BBF6-3A5C726ADA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0E-46DC-BBF6-3A5C726ADA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0E-46DC-BBF6-3A5C726ADA06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C3-40FF-A82A-ABB2C66BC266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C3-40FF-A82A-ABB2C66BC266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5'!$E$20:$E$24</c:f>
              <c:strCache>
                <c:ptCount val="5"/>
                <c:pt idx="0">
                  <c:v>Group A</c:v>
                </c:pt>
                <c:pt idx="1">
                  <c:v>Group B</c:v>
                </c:pt>
                <c:pt idx="2">
                  <c:v>Group C</c:v>
                </c:pt>
                <c:pt idx="3">
                  <c:v>Group D</c:v>
                </c:pt>
                <c:pt idx="4">
                  <c:v>Group E</c:v>
                </c:pt>
              </c:strCache>
            </c:strRef>
          </c:cat>
          <c:val>
            <c:numRef>
              <c:f>'Pie Portion 5'!$F$20:$F$24</c:f>
              <c:numCache>
                <c:formatCode>0.0%</c:formatCode>
                <c:ptCount val="5"/>
                <c:pt idx="0">
                  <c:v>0.52500000000000002</c:v>
                </c:pt>
                <c:pt idx="1">
                  <c:v>0.13750000000000001</c:v>
                </c:pt>
                <c:pt idx="2">
                  <c:v>0.26250000000000001</c:v>
                </c:pt>
                <c:pt idx="3">
                  <c:v>7.4999999999999997E-2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0FF-A82A-ABB2C66BC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Mesocephalic</a:t>
            </a:r>
            <a:r>
              <a:rPr lang="en-US" sz="1600" b="1" baseline="0"/>
              <a:t> Skull Type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CB-4A12-9B38-21AC67DE18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CB-4A12-9B38-21AC67DE18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CB-4A12-9B38-21AC67DE18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B-4A12-9B38-21AC67DE18E1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0D-4A5E-9A48-FE6114E0566D}"/>
              </c:ext>
            </c:extLst>
          </c:dPt>
          <c:dLbls>
            <c:dLbl>
              <c:idx val="1"/>
              <c:layout>
                <c:manualLayout>
                  <c:x val="-5.2777777777777778E-2"/>
                  <c:y val="4.62962962962958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B-4A12-9B38-21AC67DE18E1}"/>
                </c:ext>
              </c:extLst>
            </c:dLbl>
            <c:dLbl>
              <c:idx val="3"/>
              <c:layout>
                <c:manualLayout>
                  <c:x val="9.166666666666666E-2"/>
                  <c:y val="-4.1666666666666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CB-4A12-9B38-21AC67DE18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A5E-9A48-FE6114E0566D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5'!$E$28:$E$32</c:f>
              <c:strCache>
                <c:ptCount val="5"/>
                <c:pt idx="0">
                  <c:v>Group A</c:v>
                </c:pt>
                <c:pt idx="1">
                  <c:v>Group B</c:v>
                </c:pt>
                <c:pt idx="2">
                  <c:v>Group C</c:v>
                </c:pt>
                <c:pt idx="3">
                  <c:v>Group D</c:v>
                </c:pt>
                <c:pt idx="4">
                  <c:v>Group E</c:v>
                </c:pt>
              </c:strCache>
            </c:strRef>
          </c:cat>
          <c:val>
            <c:numRef>
              <c:f>'Pie Portion 5'!$F$28:$F$32</c:f>
              <c:numCache>
                <c:formatCode>0.0%</c:formatCode>
                <c:ptCount val="5"/>
                <c:pt idx="0">
                  <c:v>0.83750000000000002</c:v>
                </c:pt>
                <c:pt idx="1">
                  <c:v>0.1125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D-4A5E-9A48-FE6114E0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Dolichocephalic</a:t>
            </a:r>
            <a:r>
              <a:rPr lang="en-US" sz="1600" b="1" baseline="0"/>
              <a:t> Skull Type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C9-492E-80EC-B68462159AB7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6C9-492E-80EC-B68462159AB7}"/>
              </c:ext>
            </c:extLst>
          </c:dPt>
          <c:dPt>
            <c:idx val="2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C9-492E-80EC-B68462159AB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6C9-492E-80EC-B68462159AB7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C9-492E-80EC-B68462159AB7}"/>
              </c:ext>
            </c:extLst>
          </c:dPt>
          <c:dLbls>
            <c:dLbl>
              <c:idx val="0"/>
              <c:layout>
                <c:manualLayout>
                  <c:x val="0.13338054768649668"/>
                  <c:y val="4.0950040950040928E-2"/>
                </c:manualLayout>
              </c:layout>
              <c:numFmt formatCode="0.0%" sourceLinked="0"/>
              <c:spPr>
                <a:noFill/>
                <a:ln w="0"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5062159368889086"/>
                      <c:h val="0.107013742446813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6C9-492E-80EC-B68462159AB7}"/>
                </c:ext>
              </c:extLst>
            </c:dLbl>
            <c:dLbl>
              <c:idx val="1"/>
              <c:layout>
                <c:manualLayout>
                  <c:x val="4.6616401723369484E-2"/>
                  <c:y val="9.36986122591029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C9-492E-80EC-B68462159AB7}"/>
                </c:ext>
              </c:extLst>
            </c:dLbl>
            <c:dLbl>
              <c:idx val="3"/>
              <c:layout>
                <c:manualLayout>
                  <c:x val="0.10151314812063586"/>
                  <c:y val="-1.39252621046680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C9-492E-80EC-B68462159AB7}"/>
                </c:ext>
              </c:extLst>
            </c:dLbl>
            <c:dLbl>
              <c:idx val="4"/>
              <c:layout>
                <c:manualLayout>
                  <c:x val="-1.2245580151537675E-2"/>
                  <c:y val="8.34272269833674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C9-492E-80EC-B68462159AB7}"/>
                </c:ext>
              </c:extLst>
            </c:dLbl>
            <c:numFmt formatCode="0.0%" sourceLinked="0"/>
            <c:spPr>
              <a:noFill/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Mesial Roots'!$H$31:$H$35</c:f>
              <c:strCache>
                <c:ptCount val="5"/>
                <c:pt idx="0">
                  <c:v>Section 1</c:v>
                </c:pt>
                <c:pt idx="1">
                  <c:v>Section 1,2</c:v>
                </c:pt>
                <c:pt idx="2">
                  <c:v>Section 1,2,5</c:v>
                </c:pt>
                <c:pt idx="3">
                  <c:v>Section 2</c:v>
                </c:pt>
                <c:pt idx="4">
                  <c:v>Section 2,5</c:v>
                </c:pt>
              </c:strCache>
            </c:strRef>
          </c:cat>
          <c:val>
            <c:numRef>
              <c:f>'Pie Chart Mesial Roots'!$I$31:$I$35</c:f>
              <c:numCache>
                <c:formatCode>0.00%</c:formatCode>
                <c:ptCount val="5"/>
                <c:pt idx="0">
                  <c:v>6.25E-2</c:v>
                </c:pt>
                <c:pt idx="1">
                  <c:v>0.1875</c:v>
                </c:pt>
                <c:pt idx="2">
                  <c:v>7.4999999999999997E-2</c:v>
                </c:pt>
                <c:pt idx="3">
                  <c:v>0.27500000000000002</c:v>
                </c:pt>
                <c:pt idx="4" formatCode="0%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9-492E-80EC-B68462159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>
          <a:lumMod val="25000"/>
          <a:lumOff val="75000"/>
        </a:sys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Total Population Skull Type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70-41CF-AEF0-E957874CBF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0-41CF-AEF0-E957874CBF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70-41CF-AEF0-E957874CBF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70-41CF-AEF0-E957874CBF2B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EC-4505-8E77-31D9277AFA77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EC-4505-8E77-31D9277AFA77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5'!$E$37:$E$41</c:f>
              <c:strCache>
                <c:ptCount val="5"/>
                <c:pt idx="0">
                  <c:v>Group A</c:v>
                </c:pt>
                <c:pt idx="1">
                  <c:v>Group B</c:v>
                </c:pt>
                <c:pt idx="2">
                  <c:v>Group C</c:v>
                </c:pt>
                <c:pt idx="3">
                  <c:v>Group D</c:v>
                </c:pt>
                <c:pt idx="4">
                  <c:v>Group E</c:v>
                </c:pt>
              </c:strCache>
            </c:strRef>
          </c:cat>
          <c:val>
            <c:numRef>
              <c:f>'Pie Portion 5'!$F$37:$F$41</c:f>
              <c:numCache>
                <c:formatCode>0.0%</c:formatCode>
                <c:ptCount val="5"/>
                <c:pt idx="0">
                  <c:v>0.6542</c:v>
                </c:pt>
                <c:pt idx="1">
                  <c:v>0.1167</c:v>
                </c:pt>
                <c:pt idx="2">
                  <c:v>0.19170000000000001</c:v>
                </c:pt>
                <c:pt idx="3">
                  <c:v>3.7499999999999999E-2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C-4505-8E77-31D9277A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Brachycephalic</a:t>
            </a:r>
            <a:r>
              <a:rPr lang="en-US" sz="1600" b="1" baseline="0"/>
              <a:t> Skull Type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86-42E5-BA33-8FE66AD8D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D-4DD8-8758-DDB96E623B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D8D-4DD8-8758-DDB96E623B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D-4DD8-8758-DDB96E623B57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D8D-4DD8-8758-DDB96E623B5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D-4DD8-8758-DDB96E623B57}"/>
                </c:ext>
              </c:extLst>
            </c:dLbl>
            <c:dLbl>
              <c:idx val="2"/>
              <c:layout>
                <c:manualLayout>
                  <c:x val="0.17152103559870538"/>
                  <c:y val="1.3888888888888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8D-4DD8-8758-DDB96E623B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8D-4DD8-8758-DDB96E623B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8D-4DD8-8758-DDB96E623B57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12'!$E$11:$E$15</c:f>
              <c:strCache>
                <c:ptCount val="5"/>
                <c:pt idx="0">
                  <c:v>Group A</c:v>
                </c:pt>
                <c:pt idx="1">
                  <c:v>Group B</c:v>
                </c:pt>
                <c:pt idx="2">
                  <c:v>Group C</c:v>
                </c:pt>
                <c:pt idx="3">
                  <c:v>Group D</c:v>
                </c:pt>
                <c:pt idx="4">
                  <c:v>Group E</c:v>
                </c:pt>
              </c:strCache>
            </c:strRef>
          </c:cat>
          <c:val>
            <c:numRef>
              <c:f>'Pie Portion 12'!$F$11:$F$15</c:f>
              <c:numCache>
                <c:formatCode>0%</c:formatCode>
                <c:ptCount val="5"/>
                <c:pt idx="0" formatCode="0.00%">
                  <c:v>0.97499999999999998</c:v>
                </c:pt>
                <c:pt idx="1">
                  <c:v>0</c:v>
                </c:pt>
                <c:pt idx="2" formatCode="0.00%">
                  <c:v>2.5000000000000001E-2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D-4DD8-8758-DDB96E623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Dolichocephalic</a:t>
            </a:r>
            <a:r>
              <a:rPr lang="en-US" sz="1600" b="1" baseline="0"/>
              <a:t> Skull Type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9E-4D51-970A-2BA4156F48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9E-4D51-970A-2BA4156F48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9E-4D51-970A-2BA4156F48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149-44CB-B63E-EC238E67DDC6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49-44CB-B63E-EC238E67DDC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49-44CB-B63E-EC238E67DD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49-44CB-B63E-EC238E67DDC6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12'!$E$20:$E$24</c:f>
              <c:strCache>
                <c:ptCount val="5"/>
                <c:pt idx="0">
                  <c:v>Group A</c:v>
                </c:pt>
                <c:pt idx="1">
                  <c:v>Group B</c:v>
                </c:pt>
                <c:pt idx="2">
                  <c:v>Group C</c:v>
                </c:pt>
                <c:pt idx="3">
                  <c:v>Group D</c:v>
                </c:pt>
                <c:pt idx="4">
                  <c:v>Group E</c:v>
                </c:pt>
              </c:strCache>
            </c:strRef>
          </c:cat>
          <c:val>
            <c:numRef>
              <c:f>'Pie Portion 12'!$F$20:$F$24</c:f>
              <c:numCache>
                <c:formatCode>0%</c:formatCode>
                <c:ptCount val="5"/>
                <c:pt idx="0" formatCode="0.00%">
                  <c:v>0.53749999999999998</c:v>
                </c:pt>
                <c:pt idx="1">
                  <c:v>0.25</c:v>
                </c:pt>
                <c:pt idx="2" formatCode="0.00%">
                  <c:v>0.21249999999999999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9-44CB-B63E-EC238E67D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Mesocephalic</a:t>
            </a:r>
            <a:r>
              <a:rPr lang="en-US" sz="1600" b="1" baseline="0"/>
              <a:t> Skull Type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1A-4472-B84A-52AA3D031B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1A-4472-B84A-52AA3D031B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1A-4472-B84A-52AA3D031B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38C-4922-85BF-05A168E72EB8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C-4922-85BF-05A168E72EB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C-4922-85BF-05A168E72E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C-4922-85BF-05A168E72EB8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12'!$E$28:$E$32</c:f>
              <c:strCache>
                <c:ptCount val="5"/>
                <c:pt idx="0">
                  <c:v>Group A</c:v>
                </c:pt>
                <c:pt idx="1">
                  <c:v>Group B</c:v>
                </c:pt>
                <c:pt idx="2">
                  <c:v>Group C</c:v>
                </c:pt>
                <c:pt idx="3">
                  <c:v>Group D</c:v>
                </c:pt>
                <c:pt idx="4">
                  <c:v>Group E</c:v>
                </c:pt>
              </c:strCache>
            </c:strRef>
          </c:cat>
          <c:val>
            <c:numRef>
              <c:f>'Pie Portion 12'!$F$28:$F$32</c:f>
              <c:numCache>
                <c:formatCode>0.00%</c:formatCode>
                <c:ptCount val="5"/>
                <c:pt idx="0">
                  <c:v>0.625</c:v>
                </c:pt>
                <c:pt idx="1">
                  <c:v>0.3125</c:v>
                </c:pt>
                <c:pt idx="2">
                  <c:v>6.25E-2</c:v>
                </c:pt>
                <c:pt idx="3" formatCode="0%">
                  <c:v>0</c:v>
                </c:pt>
                <c:pt idx="4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C-4922-85BF-05A168E72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Total Population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68-4B90-8919-19B4FA34C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68-4B90-8919-19B4FA34C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68-4B90-8919-19B4FA34C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37-44A8-BEF6-5A0BC6AEFEFC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37-44A8-BEF6-5A0BC6AEFEF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37-44A8-BEF6-5A0BC6AEFE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4A8-BEF6-5A0BC6AEFEFC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12'!$E$37:$E$41</c:f>
              <c:strCache>
                <c:ptCount val="5"/>
                <c:pt idx="0">
                  <c:v>Group A</c:v>
                </c:pt>
                <c:pt idx="1">
                  <c:v>Group B</c:v>
                </c:pt>
                <c:pt idx="2">
                  <c:v>Group C</c:v>
                </c:pt>
                <c:pt idx="3">
                  <c:v>Group D</c:v>
                </c:pt>
                <c:pt idx="4">
                  <c:v>Group E</c:v>
                </c:pt>
              </c:strCache>
            </c:strRef>
          </c:cat>
          <c:val>
            <c:numRef>
              <c:f>'Pie Portion 12'!$F$37:$F$41</c:f>
              <c:numCache>
                <c:formatCode>0.00%</c:formatCode>
                <c:ptCount val="5"/>
                <c:pt idx="0">
                  <c:v>0.71250000000000002</c:v>
                </c:pt>
                <c:pt idx="1">
                  <c:v>0.1875</c:v>
                </c:pt>
                <c:pt idx="2" formatCode="0%">
                  <c:v>0.1</c:v>
                </c:pt>
                <c:pt idx="3" formatCode="0%">
                  <c:v>0</c:v>
                </c:pt>
                <c:pt idx="4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7-44A8-BEF6-5A0BC6AE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Brachycephalic Skull Type</a:t>
            </a:r>
          </a:p>
          <a:p>
            <a:pPr>
              <a:defRPr sz="1600">
                <a:solidFill>
                  <a:sysClr val="windowText" lastClr="000000"/>
                </a:solidFill>
              </a:defRPr>
            </a:pPr>
            <a:endParaRPr lang="en-US" sz="16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D9-4C5C-97A2-BD6377FB22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80-4C14-A8B1-14E6D5D4E2B1}"/>
              </c:ext>
            </c:extLst>
          </c:dPt>
          <c:dLbls>
            <c:dLbl>
              <c:idx val="0"/>
              <c:layout>
                <c:manualLayout>
                  <c:x val="0.1847222222222222"/>
                  <c:y val="-1.3888888888888895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0442169728783897"/>
                      <c:h val="0.14450860309128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D9-4C5C-97A2-BD6377FB2276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'!$D$12:$D$13</c:f>
              <c:strCache>
                <c:ptCount val="2"/>
                <c:pt idx="0">
                  <c:v>Not in Section 13 </c:v>
                </c:pt>
                <c:pt idx="1">
                  <c:v>Section 13</c:v>
                </c:pt>
              </c:strCache>
            </c:strRef>
          </c:cat>
          <c:val>
            <c:numRef>
              <c:f>'Pie Portion 13 '!$E$12:$E$13</c:f>
              <c:numCache>
                <c:formatCode>0.0%</c:formatCode>
                <c:ptCount val="2"/>
                <c:pt idx="0">
                  <c:v>0.95</c:v>
                </c:pt>
                <c:pt idx="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9-4C5C-97A2-BD6377FB2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Total Population</a:t>
            </a:r>
          </a:p>
          <a:p>
            <a:pPr>
              <a:defRPr sz="1600">
                <a:solidFill>
                  <a:sysClr val="windowText" lastClr="000000"/>
                </a:solidFill>
              </a:defRPr>
            </a:pPr>
            <a:endParaRPr lang="en-US" sz="16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7B-4AB7-8DE7-CFCA5ED677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02-434C-9928-08CBB85E039B}"/>
              </c:ext>
            </c:extLst>
          </c:dPt>
          <c:dLbls>
            <c:dLbl>
              <c:idx val="0"/>
              <c:layout>
                <c:manualLayout>
                  <c:x val="0.24027799650043735"/>
                  <c:y val="-3.0092592592592591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3497725284339458"/>
                      <c:h val="0.130619714202391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7B-4AB7-8DE7-CFCA5ED677A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'!$D$27:$D$28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'!$E$27:$E$28</c:f>
              <c:numCache>
                <c:formatCode>0.0%</c:formatCode>
                <c:ptCount val="2"/>
                <c:pt idx="0">
                  <c:v>0.98333333333333328</c:v>
                </c:pt>
                <c:pt idx="1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B-4AB7-8DE7-CFCA5ED67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Brachycephalic</a:t>
            </a:r>
            <a:r>
              <a:rPr lang="en-US" sz="16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Skull Type</a:t>
            </a:r>
          </a:p>
          <a:p>
            <a:pPr>
              <a:defRPr/>
            </a:pPr>
            <a:endPara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6-4D99-AE91-2612DD546E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6-4D99-AE91-2612DD546E60}"/>
              </c:ext>
            </c:extLst>
          </c:dPt>
          <c:dLbls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'!$D$42:$D$43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'!$E$42:$E$43</c:f>
              <c:numCache>
                <c:formatCode>0.0%</c:formatCode>
                <c:ptCount val="2"/>
                <c:pt idx="0">
                  <c:v>0.375</c:v>
                </c:pt>
                <c:pt idx="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4-4CD4-AC82-A4E563593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Dolichocephalic Skull Type</a:t>
            </a:r>
          </a:p>
          <a:p>
            <a:pPr>
              <a:defRPr/>
            </a:pPr>
            <a:r>
              <a:rPr lang="en-US" sz="16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D8-4EF6-912C-B1A1D2018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5F-4EDA-88AD-B896526F7567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11898512685912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AD8-4EF6-912C-B1A1D20184DD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'!$D$47:$D$48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'!$E$47:$E$48</c:f>
              <c:numCache>
                <c:formatCode>0.0%</c:formatCode>
                <c:ptCount val="2"/>
                <c:pt idx="0">
                  <c:v>0.82499999999999996</c:v>
                </c:pt>
                <c:pt idx="1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8-4EF6-912C-B1A1D2018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Mesocephalic</a:t>
            </a:r>
            <a:r>
              <a:rPr lang="en-US" sz="16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Skull Type</a:t>
            </a:r>
          </a:p>
          <a:p>
            <a:pPr>
              <a:defRPr/>
            </a:pPr>
            <a:r>
              <a:rPr lang="en-US" sz="16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8B-4EBB-93A9-E98917FC7A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43-4BCF-B0ED-0C074852BD12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78565179352581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8B-4EBB-93A9-E98917FC7A21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'!$D$52:$D$53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'!$E$52:$E$53</c:f>
              <c:numCache>
                <c:formatCode>0.0%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B-4EBB-93A9-E98917FC7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Mesocephalic</a:t>
            </a:r>
            <a:r>
              <a:rPr lang="en-US" sz="1600" b="1" baseline="0"/>
              <a:t> Skull Type</a:t>
            </a:r>
          </a:p>
          <a:p>
            <a:pPr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8C-45E3-8464-6BDC3303025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88C-45E3-8464-6BDC3303025E}"/>
              </c:ext>
            </c:extLst>
          </c:dPt>
          <c:dPt>
            <c:idx val="2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88C-45E3-8464-6BDC3303025E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8C-45E3-8464-6BDC3303025E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88C-45E3-8464-6BDC3303025E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8C-45E3-8464-6BDC3303025E}"/>
              </c:ext>
            </c:extLst>
          </c:dPt>
          <c:dLbls>
            <c:dLbl>
              <c:idx val="0"/>
              <c:layout>
                <c:manualLayout>
                  <c:x val="3.2704950161003034E-2"/>
                  <c:y val="-4.6296296296296719E-3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588C-45E3-8464-6BDC3303025E}"/>
                </c:ext>
              </c:extLst>
            </c:dLbl>
            <c:dLbl>
              <c:idx val="1"/>
              <c:layout>
                <c:manualLayout>
                  <c:x val="8.41543513957307E-2"/>
                  <c:y val="-3.2407407407407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8C-45E3-8464-6BDC3303025E}"/>
                </c:ext>
              </c:extLst>
            </c:dLbl>
            <c:dLbl>
              <c:idx val="2"/>
              <c:layout>
                <c:manualLayout>
                  <c:x val="7.1839080459769958E-2"/>
                  <c:y val="0.11574074074074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8C-45E3-8464-6BDC3303025E}"/>
                </c:ext>
              </c:extLst>
            </c:dLbl>
            <c:dLbl>
              <c:idx val="3"/>
              <c:layout>
                <c:manualLayout>
                  <c:x val="-0.14893946385246268"/>
                  <c:y val="-3.2407407407407406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588C-45E3-8464-6BDC3303025E}"/>
                </c:ext>
              </c:extLst>
            </c:dLbl>
            <c:dLbl>
              <c:idx val="4"/>
              <c:layout>
                <c:manualLayout>
                  <c:x val="-7.183908045977011E-2"/>
                  <c:y val="-9.2592592592592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8C-45E3-8464-6BDC3303025E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Mesial Roots'!$H$49:$H$54</c:f>
              <c:strCache>
                <c:ptCount val="6"/>
                <c:pt idx="0">
                  <c:v>Section 1,2</c:v>
                </c:pt>
                <c:pt idx="1">
                  <c:v>Section 1,2,3</c:v>
                </c:pt>
                <c:pt idx="2">
                  <c:v>Section 1,2,5</c:v>
                </c:pt>
                <c:pt idx="3">
                  <c:v>Section 2</c:v>
                </c:pt>
                <c:pt idx="4">
                  <c:v>Section 2,3</c:v>
                </c:pt>
                <c:pt idx="5">
                  <c:v>Section 2,5</c:v>
                </c:pt>
              </c:strCache>
            </c:strRef>
          </c:cat>
          <c:val>
            <c:numRef>
              <c:f>'Pie Chart Mesial Roots'!$I$49:$I$54</c:f>
              <c:numCache>
                <c:formatCode>0.00%</c:formatCode>
                <c:ptCount val="6"/>
                <c:pt idx="0">
                  <c:v>0.215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0.53749999999999998</c:v>
                </c:pt>
                <c:pt idx="4">
                  <c:v>7.4999999999999997E-2</c:v>
                </c:pt>
                <c:pt idx="5">
                  <c:v>0.13750000000000001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C-45E3-8464-6BDC33030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>
          <a:lumMod val="25000"/>
          <a:lumOff val="75000"/>
        </a:sys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Total Population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12-41DA-B798-BC16FC385F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E4-4F2A-97BE-1E78E3AB6D13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67454068241469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312-41DA-B798-BC16FC385F77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'!$D$57:$D$58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'!$E$57:$E$58</c:f>
              <c:numCache>
                <c:formatCode>0.0%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2-41DA-B798-BC16FC385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Brachycephalic</a:t>
            </a:r>
            <a:r>
              <a:rPr lang="en-US" sz="16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Skull Type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CD-44FE-BE04-EC53B5CA2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5F-45DB-9A8B-8ED5E8F93A01}"/>
              </c:ext>
            </c:extLst>
          </c:dPt>
          <c:dLbls>
            <c:dLbl>
              <c:idx val="0"/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834120734908133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5CD-44FE-BE04-EC53B5CA2FD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'!$D$71:$D$72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'!$E$71:$E$72</c:f>
              <c:numCache>
                <c:formatCode>0.0%</c:formatCode>
                <c:ptCount val="2"/>
                <c:pt idx="0">
                  <c:v>0.66249999999999998</c:v>
                </c:pt>
                <c:pt idx="1">
                  <c:v>0.33750000000000002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D-44FE-BE04-EC53B5CA2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Dolichocephalic</a:t>
            </a:r>
            <a:r>
              <a:rPr lang="en-US" sz="16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Skull Type</a:t>
            </a:r>
          </a:p>
          <a:p>
            <a:pPr>
              <a:defRPr/>
            </a:pPr>
            <a:endPara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CF-487C-9F80-E05A11C9EC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C4-4E7A-9973-8C61E3E55025}"/>
              </c:ext>
            </c:extLst>
          </c:dPt>
          <c:dLbls>
            <c:dLbl>
              <c:idx val="0"/>
              <c:layout>
                <c:manualLayout>
                  <c:x val="8.888888888888889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45231846019249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CF-487C-9F80-E05A11C9ECF8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'!$D$76:$D$77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'!$E$76:$E$77</c:f>
              <c:numCache>
                <c:formatCode>0.0%</c:formatCode>
                <c:ptCount val="2"/>
                <c:pt idx="0">
                  <c:v>0.91249999999999998</c:v>
                </c:pt>
                <c:pt idx="1">
                  <c:v>8.7499999999999994E-2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F-487C-9F80-E05A11C9E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Mesocephalic</a:t>
            </a:r>
            <a:r>
              <a:rPr lang="en-US" sz="16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Skull Type</a:t>
            </a:r>
          </a:p>
          <a:p>
            <a:pPr>
              <a:defRPr/>
            </a:pPr>
            <a:endPara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4B-4504-9E19-159E32677B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6D-46AF-B91C-CDFCF94E73C8}"/>
              </c:ext>
            </c:extLst>
          </c:dPt>
          <c:dLbls>
            <c:dLbl>
              <c:idx val="0"/>
              <c:layout>
                <c:manualLayout>
                  <c:x val="7.777777777777777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89676290463693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34B-4504-9E19-159E32677B56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'!$D$81:$D$82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'!$E$81:$E$82</c:f>
              <c:numCache>
                <c:formatCode>0.0%</c:formatCode>
                <c:ptCount val="2"/>
                <c:pt idx="0">
                  <c:v>0.9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B-4504-9E19-159E32677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Total Population</a:t>
            </a:r>
          </a:p>
          <a:p>
            <a:pPr>
              <a:defRPr/>
            </a:pPr>
            <a:endPara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65-448E-97D2-ED5C17FBA3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1D-4750-8C02-C1877FFA70CE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89676290463694"/>
                      <c:h val="0.175306576261300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E65-448E-97D2-ED5C17FBA3E3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Portion 13 '!$D$86:$D$87</c:f>
              <c:strCache>
                <c:ptCount val="2"/>
                <c:pt idx="0">
                  <c:v>Not in Section 13</c:v>
                </c:pt>
                <c:pt idx="1">
                  <c:v>Section 13</c:v>
                </c:pt>
              </c:strCache>
            </c:strRef>
          </c:cat>
          <c:val>
            <c:numRef>
              <c:f>'Pie Portion 13 '!$E$86:$E$87</c:f>
              <c:numCache>
                <c:formatCode>0.0%</c:formatCode>
                <c:ptCount val="2"/>
                <c:pt idx="0">
                  <c:v>0.82499999999999996</c:v>
                </c:pt>
                <c:pt idx="1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5-448E-97D2-ED5C17FB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Total Population</a:t>
            </a:r>
          </a:p>
          <a:p>
            <a:pPr>
              <a:defRPr sz="1200"/>
            </a:pPr>
            <a:endParaRPr lang="en-U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0C-4192-8C77-D443FD189A4B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0C-4192-8C77-D443FD189A4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0C-4192-8C77-D443FD189A4B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0C-4192-8C77-D443FD189A4B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A0C-4192-8C77-D443FD189A4B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0C-4192-8C77-D443FD189A4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A0C-4192-8C77-D443FD189A4B}"/>
              </c:ext>
            </c:extLst>
          </c:dPt>
          <c:dPt>
            <c:idx val="7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0C-4192-8C77-D443FD189A4B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A0C-4192-8C77-D443FD189A4B}"/>
              </c:ext>
            </c:extLst>
          </c:dPt>
          <c:dLbls>
            <c:dLbl>
              <c:idx val="0"/>
              <c:layout>
                <c:manualLayout>
                  <c:x val="0.12812805806681571"/>
                  <c:y val="1.27876160421581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0C-4192-8C77-D443FD189A4B}"/>
                </c:ext>
              </c:extLst>
            </c:dLbl>
            <c:dLbl>
              <c:idx val="1"/>
              <c:layout>
                <c:manualLayout>
                  <c:x val="-9.7181231975632679E-2"/>
                  <c:y val="0.1522028861178344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A0C-4192-8C77-D443FD189A4B}"/>
                </c:ext>
              </c:extLst>
            </c:dLbl>
            <c:dLbl>
              <c:idx val="2"/>
              <c:layout>
                <c:manualLayout>
                  <c:x val="8.1081081081081086E-2"/>
                  <c:y val="-8.9514066496163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0C-4192-8C77-D443FD189A4B}"/>
                </c:ext>
              </c:extLst>
            </c:dLbl>
            <c:dLbl>
              <c:idx val="3"/>
              <c:layout>
                <c:manualLayout>
                  <c:x val="4.6846846846846847E-2"/>
                  <c:y val="4.6888320545609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0C-4192-8C77-D443FD189A4B}"/>
                </c:ext>
              </c:extLst>
            </c:dLbl>
            <c:dLbl>
              <c:idx val="4"/>
              <c:layout>
                <c:manualLayout>
                  <c:x val="7.6567843792253121E-2"/>
                  <c:y val="-1.9552331239494111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A0C-4192-8C77-D443FD189A4B}"/>
                </c:ext>
              </c:extLst>
            </c:dLbl>
            <c:dLbl>
              <c:idx val="6"/>
              <c:layout>
                <c:manualLayout>
                  <c:x val="-3.2181808239879151E-2"/>
                  <c:y val="0.11458241174909316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EA0C-4192-8C77-D443FD189A4B}"/>
                </c:ext>
              </c:extLst>
            </c:dLbl>
            <c:dLbl>
              <c:idx val="7"/>
              <c:layout>
                <c:manualLayout>
                  <c:x val="-0.16210654223777587"/>
                  <c:y val="2.98380260833154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0C-4192-8C77-D443FD189A4B}"/>
                </c:ext>
              </c:extLst>
            </c:dLbl>
            <c:dLbl>
              <c:idx val="8"/>
              <c:layout>
                <c:manualLayout>
                  <c:x val="-3.6036036036036037E-3"/>
                  <c:y val="8.52514919011082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0C-4192-8C77-D443FD189A4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Mesial Roots'!$E$61:$E$69</c:f>
              <c:strCache>
                <c:ptCount val="9"/>
                <c:pt idx="0">
                  <c:v>Section 1</c:v>
                </c:pt>
                <c:pt idx="1">
                  <c:v>Section 1,2</c:v>
                </c:pt>
                <c:pt idx="2">
                  <c:v>Section 1,2,3</c:v>
                </c:pt>
                <c:pt idx="3">
                  <c:v>Section 1,2,5</c:v>
                </c:pt>
                <c:pt idx="4">
                  <c:v>Section 2</c:v>
                </c:pt>
                <c:pt idx="5">
                  <c:v>Section 2,3</c:v>
                </c:pt>
                <c:pt idx="6">
                  <c:v>Section 2,5</c:v>
                </c:pt>
                <c:pt idx="7">
                  <c:v>Section 6</c:v>
                </c:pt>
                <c:pt idx="8">
                  <c:v>Section 13</c:v>
                </c:pt>
              </c:strCache>
            </c:strRef>
          </c:cat>
          <c:val>
            <c:numRef>
              <c:f>'Pie Chart Mesial Roots'!$F$61:$F$69</c:f>
              <c:numCache>
                <c:formatCode>0.00%</c:formatCode>
                <c:ptCount val="9"/>
                <c:pt idx="0">
                  <c:v>2.0799999999999999E-2</c:v>
                </c:pt>
                <c:pt idx="1">
                  <c:v>0.16250000000000001</c:v>
                </c:pt>
                <c:pt idx="2">
                  <c:v>1.2500000000000001E-2</c:v>
                </c:pt>
                <c:pt idx="3">
                  <c:v>3.3300000000000003E-2</c:v>
                </c:pt>
                <c:pt idx="4">
                  <c:v>0.38750000000000001</c:v>
                </c:pt>
                <c:pt idx="5">
                  <c:v>4.58E-2</c:v>
                </c:pt>
                <c:pt idx="6">
                  <c:v>0.3125</c:v>
                </c:pt>
                <c:pt idx="7">
                  <c:v>8.3000000000000001E-3</c:v>
                </c:pt>
                <c:pt idx="8">
                  <c:v>1.67E-2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C-4192-8C77-D443FD189A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Brachycephalic</a:t>
            </a:r>
            <a:r>
              <a:rPr lang="en-US" sz="1600" b="1" baseline="0"/>
              <a:t> Skull Type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FA-4347-89D8-660ADCB10D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53-4EBB-9786-DB639CBDD0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53-4EBB-9786-DB639CBDD0C4}"/>
              </c:ext>
            </c:extLst>
          </c:dPt>
          <c:dLbls>
            <c:dLbl>
              <c:idx val="0"/>
              <c:layout>
                <c:manualLayout>
                  <c:x val="5.834381206151501E-2"/>
                  <c:y val="-2.5996964054706837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90FA-4347-89D8-660ADCB10DA8}"/>
                </c:ext>
              </c:extLst>
            </c:dLbl>
            <c:dLbl>
              <c:idx val="2"/>
              <c:layout>
                <c:manualLayout>
                  <c:x val="-2.7006676446812983E-2"/>
                  <c:y val="7.9536532292436932E-3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BE53-4EBB-9786-DB639CBDD0C4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Distal Roots'!$E$11:$E$13</c:f>
              <c:strCache>
                <c:ptCount val="3"/>
                <c:pt idx="0">
                  <c:v>Section 9</c:v>
                </c:pt>
                <c:pt idx="1">
                  <c:v>Section 9,12</c:v>
                </c:pt>
                <c:pt idx="2">
                  <c:v>Section 13</c:v>
                </c:pt>
              </c:strCache>
            </c:strRef>
          </c:cat>
          <c:val>
            <c:numRef>
              <c:f>'Pie Chart Distal Roots'!$F$11:$F$13</c:f>
              <c:numCache>
                <c:formatCode>0.00%</c:formatCode>
                <c:ptCount val="3"/>
                <c:pt idx="0" formatCode="0%">
                  <c:v>0.35</c:v>
                </c:pt>
                <c:pt idx="1">
                  <c:v>2.5000000000000001E-2</c:v>
                </c:pt>
                <c:pt idx="2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A-4347-89D8-660ADCB10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Dolichocephalic</a:t>
            </a:r>
            <a:r>
              <a:rPr lang="en-US" sz="1600" b="1" baseline="0"/>
              <a:t> Skull Type</a:t>
            </a:r>
          </a:p>
          <a:p>
            <a:pPr algn="ctr" rtl="0">
              <a:defRPr sz="1600" b="1"/>
            </a:pPr>
            <a:endParaRPr lang="en-US" sz="1600" b="1"/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C0B-44EE-AAFF-D60B7A3D387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C0B-44EE-AAFF-D60B7A3D387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0B-44EE-AAFF-D60B7A3D387F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0B-44EE-AAFF-D60B7A3D387F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0B-44EE-AAFF-D60B7A3D387F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0B-44EE-AAFF-D60B7A3D387F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C0B-44EE-AAFF-D60B7A3D387F}"/>
              </c:ext>
            </c:extLst>
          </c:dPt>
          <c:dLbls>
            <c:dLbl>
              <c:idx val="0"/>
              <c:layout>
                <c:manualLayout>
                  <c:x val="-3.8880248833592534E-2"/>
                  <c:y val="-3.49956255468066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0B-44EE-AAFF-D60B7A3D387F}"/>
                </c:ext>
              </c:extLst>
            </c:dLbl>
            <c:dLbl>
              <c:idx val="1"/>
              <c:layout>
                <c:manualLayout>
                  <c:x val="8.55365474339035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0B-44EE-AAFF-D60B7A3D387F}"/>
                </c:ext>
              </c:extLst>
            </c:dLbl>
            <c:dLbl>
              <c:idx val="2"/>
              <c:layout>
                <c:manualLayout>
                  <c:x val="7.5029414426644944E-3"/>
                  <c:y val="-6.78722610927116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0B-44EE-AAFF-D60B7A3D387F}"/>
                </c:ext>
              </c:extLst>
            </c:dLbl>
            <c:dLbl>
              <c:idx val="3"/>
              <c:layout>
                <c:manualLayout>
                  <c:x val="0.1537532305588237"/>
                  <c:y val="-0.1374845553776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0B-44EE-AAFF-D60B7A3D387F}"/>
                </c:ext>
              </c:extLst>
            </c:dLbl>
            <c:dLbl>
              <c:idx val="4"/>
              <c:layout>
                <c:manualLayout>
                  <c:x val="5.2187920209584987E-3"/>
                  <c:y val="3.9370078740157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65785742299455"/>
                      <c:h val="0.17579489541523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C0B-44EE-AAFF-D60B7A3D387F}"/>
                </c:ext>
              </c:extLst>
            </c:dLbl>
            <c:dLbl>
              <c:idx val="5"/>
              <c:layout>
                <c:manualLayout>
                  <c:x val="-4.6194477127140747E-2"/>
                  <c:y val="-4.36470510824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0B-44EE-AAFF-D60B7A3D387F}"/>
                </c:ext>
              </c:extLst>
            </c:dLbl>
            <c:dLbl>
              <c:idx val="6"/>
              <c:layout>
                <c:manualLayout>
                  <c:x val="-5.096640218823225E-2"/>
                  <c:y val="3.26683920777312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0B-44EE-AAFF-D60B7A3D387F}"/>
                </c:ext>
              </c:extLst>
            </c:dLbl>
            <c:numFmt formatCode="0.0%" sourceLinked="0"/>
            <c:spPr>
              <a:noFill/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Distal Roots'!$E$27:$E$33</c:f>
              <c:strCache>
                <c:ptCount val="7"/>
                <c:pt idx="0">
                  <c:v>Section 7,8,9,11</c:v>
                </c:pt>
                <c:pt idx="1">
                  <c:v>Section 8,9,12</c:v>
                </c:pt>
                <c:pt idx="2">
                  <c:v>Section 9</c:v>
                </c:pt>
                <c:pt idx="3">
                  <c:v>Section 9,11</c:v>
                </c:pt>
                <c:pt idx="4">
                  <c:v>Section 9,11,12</c:v>
                </c:pt>
                <c:pt idx="5">
                  <c:v>Section 9,12</c:v>
                </c:pt>
                <c:pt idx="6">
                  <c:v>Section 13</c:v>
                </c:pt>
              </c:strCache>
            </c:strRef>
          </c:cat>
          <c:val>
            <c:numRef>
              <c:f>'Pie Chart Distal Roots'!$F$27:$F$33</c:f>
              <c:numCache>
                <c:formatCode>0.00%</c:formatCode>
                <c:ptCount val="7"/>
                <c:pt idx="0">
                  <c:v>2.5000000000000001E-2</c:v>
                </c:pt>
                <c:pt idx="1">
                  <c:v>2.5000000000000001E-2</c:v>
                </c:pt>
                <c:pt idx="2">
                  <c:v>0.32500000000000001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0.42499999999999999</c:v>
                </c:pt>
                <c:pt idx="6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B-44EE-AAFF-D60B7A3D3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400" b="1"/>
              <a:t>Mesocephalic</a:t>
            </a:r>
            <a:r>
              <a:rPr lang="en-US" sz="1400" b="1" baseline="0"/>
              <a:t> Skull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18-4D37-9C70-482C28D4BB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83-4280-8B16-5CEC64470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83-4280-8B16-5CEC64470741}"/>
              </c:ext>
            </c:extLst>
          </c:dPt>
          <c:dLbls>
            <c:dLbl>
              <c:idx val="0"/>
              <c:layout>
                <c:manualLayout>
                  <c:x val="1.512373094854539E-2"/>
                  <c:y val="-2.9536207687506155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7618-4D37-9C70-482C28D4BB11}"/>
                </c:ext>
              </c:extLst>
            </c:dLbl>
            <c:dLbl>
              <c:idx val="1"/>
              <c:layout>
                <c:manualLayout>
                  <c:x val="-6.0387026191515751E-2"/>
                  <c:y val="-6.2032503816679074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4783-4280-8B16-5CEC64470741}"/>
                </c:ext>
              </c:extLst>
            </c:dLbl>
            <c:dLbl>
              <c:idx val="2"/>
              <c:layout>
                <c:manualLayout>
                  <c:x val="-4.3848331100103881E-2"/>
                  <c:y val="4.9881927366528994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4783-4280-8B16-5CEC64470741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Distal Roots'!$E$45:$E$47</c:f>
              <c:strCache>
                <c:ptCount val="3"/>
                <c:pt idx="0">
                  <c:v>Section 9</c:v>
                </c:pt>
                <c:pt idx="1">
                  <c:v>Section 9,12</c:v>
                </c:pt>
                <c:pt idx="2">
                  <c:v>Section 13</c:v>
                </c:pt>
              </c:strCache>
            </c:strRef>
          </c:cat>
          <c:val>
            <c:numRef>
              <c:f>'Pie Chart Distal Roots'!$F$45:$F$47</c:f>
              <c:numCache>
                <c:formatCode>0.00%</c:formatCode>
                <c:ptCount val="3"/>
                <c:pt idx="0">
                  <c:v>0.42499999999999999</c:v>
                </c:pt>
                <c:pt idx="1">
                  <c:v>0.375</c:v>
                </c:pt>
                <c:pt idx="2" formatCode="0%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8-4D37-9C70-482C28D4B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Total Population</a:t>
            </a:r>
          </a:p>
          <a:p>
            <a:pPr algn="ctr" rtl="0"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8C-41A1-9B89-5F947FD74FA9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8C-41A1-9B89-5F947FD74FA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8C-41A1-9B89-5F947FD74FA9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8C-41A1-9B89-5F947FD74FA9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8C-41A1-9B89-5F947FD74FA9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28C-41A1-9B89-5F947FD74FA9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8C-41A1-9B89-5F947FD74FA9}"/>
              </c:ext>
            </c:extLst>
          </c:dPt>
          <c:dLbls>
            <c:dLbl>
              <c:idx val="0"/>
              <c:layout>
                <c:manualLayout>
                  <c:x val="-0.25573386026366479"/>
                  <c:y val="-6.7173117444826579E-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259817570332228"/>
                      <c:h val="0.135522161842445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28C-41A1-9B89-5F947FD74FA9}"/>
                </c:ext>
              </c:extLst>
            </c:dLbl>
            <c:dLbl>
              <c:idx val="1"/>
              <c:layout>
                <c:manualLayout>
                  <c:x val="0.22598339442787416"/>
                  <c:y val="-7.1711093930328096E-4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131952137161557"/>
                      <c:h val="0.168386011607703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28C-41A1-9B89-5F947FD74FA9}"/>
                </c:ext>
              </c:extLst>
            </c:dLbl>
            <c:dLbl>
              <c:idx val="2"/>
              <c:layout>
                <c:manualLayout>
                  <c:x val="4.1087093200802373E-2"/>
                  <c:y val="4.3698939041069713E-3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628C-41A1-9B89-5F947FD74FA9}"/>
                </c:ext>
              </c:extLst>
            </c:dLbl>
            <c:dLbl>
              <c:idx val="3"/>
              <c:layout>
                <c:manualLayout>
                  <c:x val="0.13350673133538904"/>
                  <c:y val="-0.164453809470999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8C-41A1-9B89-5F947FD74FA9}"/>
                </c:ext>
              </c:extLst>
            </c:dLbl>
            <c:dLbl>
              <c:idx val="4"/>
              <c:layout>
                <c:manualLayout>
                  <c:x val="9.758527688791753E-2"/>
                  <c:y val="4.3700787401576525E-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54766823348602"/>
                      <c:h val="0.140216997523196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28C-41A1-9B89-5F947FD74FA9}"/>
                </c:ext>
              </c:extLst>
            </c:dLbl>
            <c:dLbl>
              <c:idx val="5"/>
              <c:layout>
                <c:manualLayout>
                  <c:x val="-0.13387673023761767"/>
                  <c:y val="-1.1417692506746516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628C-41A1-9B89-5F947FD74FA9}"/>
                </c:ext>
              </c:extLst>
            </c:dLbl>
            <c:dLbl>
              <c:idx val="6"/>
              <c:layout>
                <c:manualLayout>
                  <c:x val="-3.9066445116413696E-2"/>
                  <c:y val="2.615208310228822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6D64B043-0B2E-4516-8A5E-C5B5E6F3519B}" type="CATEGORYNAME">
                      <a:rPr lang="en-US" sz="1000" b="1">
                        <a:solidFill>
                          <a:sysClr val="windowText" lastClr="000000"/>
                        </a:solidFill>
                      </a:rPr>
                      <a:pPr>
                        <a:defRPr sz="1000" b="1"/>
                      </a:pPr>
                      <a:t>[CATEGORY NAME]</a:t>
                    </a:fld>
                    <a:r>
                      <a:rPr lang="en-US" sz="1000" b="1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D9FE0E07-97F3-4287-8BDB-DAFF02C0C70D}" type="PERCENTAGE">
                      <a:rPr lang="en-US" sz="1000" b="1" baseline="0">
                        <a:solidFill>
                          <a:sysClr val="windowText" lastClr="000000"/>
                        </a:solidFill>
                      </a:rPr>
                      <a:pPr>
                        <a:defRPr sz="1000" b="1"/>
                      </a:pPr>
                      <a:t>[PERCENTAGE]</a:t>
                    </a:fld>
                    <a:endParaRPr lang="en-US" sz="10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28C-41A1-9B89-5F947FD74FA9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Distal Roots'!$E$62:$E$68</c:f>
              <c:strCache>
                <c:ptCount val="7"/>
                <c:pt idx="0">
                  <c:v>Section 7,8,9,11</c:v>
                </c:pt>
                <c:pt idx="1">
                  <c:v>Section 8,9,12</c:v>
                </c:pt>
                <c:pt idx="2">
                  <c:v>Section 9</c:v>
                </c:pt>
                <c:pt idx="3">
                  <c:v>Section 9,11</c:v>
                </c:pt>
                <c:pt idx="4">
                  <c:v>Section 9,11,12</c:v>
                </c:pt>
                <c:pt idx="5">
                  <c:v>Section 9,12</c:v>
                </c:pt>
                <c:pt idx="6">
                  <c:v>Section 13</c:v>
                </c:pt>
              </c:strCache>
            </c:strRef>
          </c:cat>
          <c:val>
            <c:numRef>
              <c:f>'Pie Chart Distal Roots'!$F$62:$F$68</c:f>
              <c:numCache>
                <c:formatCode>0.00%</c:formatCode>
                <c:ptCount val="7"/>
                <c:pt idx="0">
                  <c:v>8.3000000000000001E-3</c:v>
                </c:pt>
                <c:pt idx="1">
                  <c:v>8.3000000000000001E-3</c:v>
                </c:pt>
                <c:pt idx="2">
                  <c:v>0.36670000000000003</c:v>
                </c:pt>
                <c:pt idx="3">
                  <c:v>4.1999999999999997E-3</c:v>
                </c:pt>
                <c:pt idx="4">
                  <c:v>4.1999999999999997E-3</c:v>
                </c:pt>
                <c:pt idx="5">
                  <c:v>0.27500000000000002</c:v>
                </c:pt>
                <c:pt idx="6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C-41A1-9B89-5F947FD7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/>
              <a:t>Brachycephalic</a:t>
            </a:r>
            <a:r>
              <a:rPr lang="en-US" sz="1600" b="1" baseline="0"/>
              <a:t> Skull Type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B1-4514-BCA0-F1A4CCEC59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6B1-4514-BCA0-F1A4CCEC5915}"/>
              </c:ext>
            </c:extLst>
          </c:dPt>
          <c:dLbls>
            <c:dLbl>
              <c:idx val="0"/>
              <c:layout>
                <c:manualLayout>
                  <c:x val="1.0581927259092613E-2"/>
                  <c:y val="-4.3393092812550972E-2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F6B1-4514-BCA0-F1A4CCEC5915}"/>
                </c:ext>
              </c:extLst>
            </c:dLbl>
            <c:dLbl>
              <c:idx val="1"/>
              <c:layout>
                <c:manualLayout>
                  <c:x val="-3.8624421947256599E-2"/>
                  <c:y val="7.0621468926554539E-3"/>
                </c:manualLayout>
              </c:layout>
              <c:numFmt formatCode="0.0%" sourceLinked="0"/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F6B1-4514-BCA0-F1A4CCEC5915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'Pie Chart Mesial Sec 5'!$E$10:$E$11</c:f>
              <c:strCache>
                <c:ptCount val="2"/>
                <c:pt idx="0">
                  <c:v>Section 2,5</c:v>
                </c:pt>
                <c:pt idx="1">
                  <c:v>No portion in Section 5</c:v>
                </c:pt>
              </c:strCache>
            </c:strRef>
          </c:cat>
          <c:val>
            <c:numRef>
              <c:f>'Pie Chart Mesial Sec 5'!$F$10:$F$11</c:f>
              <c:numCache>
                <c:formatCode>0.0%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1-4514-BCA0-F1A4CCEC5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83820</xdr:colOff>
      <xdr:row>12</xdr:row>
      <xdr:rowOff>38100</xdr:rowOff>
    </xdr:from>
    <xdr:to>
      <xdr:col>16</xdr:col>
      <xdr:colOff>449580</xdr:colOff>
      <xdr:row>27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B5D319-7FF0-4E0C-EDCB-C812E0D8B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60960</xdr:colOff>
      <xdr:row>29</xdr:row>
      <xdr:rowOff>76200</xdr:rowOff>
    </xdr:from>
    <xdr:to>
      <xdr:col>16</xdr:col>
      <xdr:colOff>441960</xdr:colOff>
      <xdr:row>44</xdr:row>
      <xdr:rowOff>91440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FD31C1A-7EED-1BC3-F432-265364DD9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91440</xdr:colOff>
      <xdr:row>45</xdr:row>
      <xdr:rowOff>167640</xdr:rowOff>
    </xdr:from>
    <xdr:to>
      <xdr:col>16</xdr:col>
      <xdr:colOff>464820</xdr:colOff>
      <xdr:row>60</xdr:row>
      <xdr:rowOff>167640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BC54885-CDE6-2F42-BA47-81B1FC74B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15240</xdr:colOff>
      <xdr:row>12</xdr:row>
      <xdr:rowOff>0</xdr:rowOff>
    </xdr:from>
    <xdr:to>
      <xdr:col>23</xdr:col>
      <xdr:colOff>381000</xdr:colOff>
      <xdr:row>27</xdr:row>
      <xdr:rowOff>160020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65052C-1D11-2E3E-17A1-D577DB70B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464820</xdr:colOff>
      <xdr:row>11</xdr:row>
      <xdr:rowOff>144780</xdr:rowOff>
    </xdr:from>
    <xdr:to>
      <xdr:col>13</xdr:col>
      <xdr:colOff>205740</xdr:colOff>
      <xdr:row>26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D8340D-3FD2-0662-6A53-8299B03CD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27</xdr:row>
      <xdr:rowOff>114300</xdr:rowOff>
    </xdr:from>
    <xdr:to>
      <xdr:col>13</xdr:col>
      <xdr:colOff>205740</xdr:colOff>
      <xdr:row>42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AE20EC-530E-8BFC-72FA-98ED4601F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502920</xdr:colOff>
      <xdr:row>44</xdr:row>
      <xdr:rowOff>45720</xdr:rowOff>
    </xdr:from>
    <xdr:to>
      <xdr:col>13</xdr:col>
      <xdr:colOff>220980</xdr:colOff>
      <xdr:row>58</xdr:row>
      <xdr:rowOff>144780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DA36F0-67E7-4278-1156-65E35905A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518160</xdr:colOff>
      <xdr:row>61</xdr:row>
      <xdr:rowOff>137160</xdr:rowOff>
    </xdr:from>
    <xdr:to>
      <xdr:col>13</xdr:col>
      <xdr:colOff>259080</xdr:colOff>
      <xdr:row>76</xdr:row>
      <xdr:rowOff>99060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256CEAD-1A6B-1749-5E3A-FD79A588B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175260</xdr:colOff>
      <xdr:row>8</xdr:row>
      <xdr:rowOff>91440</xdr:rowOff>
    </xdr:from>
    <xdr:to>
      <xdr:col>15</xdr:col>
      <xdr:colOff>518160</xdr:colOff>
      <xdr:row>23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32CD52-91F7-2826-FC80-872FC20D8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160020</xdr:colOff>
      <xdr:row>23</xdr:row>
      <xdr:rowOff>144780</xdr:rowOff>
    </xdr:from>
    <xdr:to>
      <xdr:col>15</xdr:col>
      <xdr:colOff>495300</xdr:colOff>
      <xdr:row>38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3EEE41-2A5F-E1D2-6718-6F5C63001C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129540</xdr:colOff>
      <xdr:row>40</xdr:row>
      <xdr:rowOff>99060</xdr:rowOff>
    </xdr:from>
    <xdr:to>
      <xdr:col>15</xdr:col>
      <xdr:colOff>464820</xdr:colOff>
      <xdr:row>55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9EEC1C-6D29-1D6A-4B15-152D09FFF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541020</xdr:colOff>
      <xdr:row>8</xdr:row>
      <xdr:rowOff>91440</xdr:rowOff>
    </xdr:from>
    <xdr:to>
      <xdr:col>22</xdr:col>
      <xdr:colOff>281940</xdr:colOff>
      <xdr:row>23</xdr:row>
      <xdr:rowOff>45720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8E130B-9408-EFE8-11FB-C53B5B139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586740</xdr:colOff>
      <xdr:row>8</xdr:row>
      <xdr:rowOff>144780</xdr:rowOff>
    </xdr:from>
    <xdr:to>
      <xdr:col>16</xdr:col>
      <xdr:colOff>304800</xdr:colOff>
      <xdr:row>23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53C4F3-AB4F-C8C5-3F74-3658FDE75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594360</xdr:colOff>
      <xdr:row>23</xdr:row>
      <xdr:rowOff>129540</xdr:rowOff>
    </xdr:from>
    <xdr:to>
      <xdr:col>16</xdr:col>
      <xdr:colOff>304800</xdr:colOff>
      <xdr:row>38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225DEE-A4E1-E80E-53BE-A3295760A4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563880</xdr:colOff>
      <xdr:row>39</xdr:row>
      <xdr:rowOff>15240</xdr:rowOff>
    </xdr:from>
    <xdr:to>
      <xdr:col>16</xdr:col>
      <xdr:colOff>304800</xdr:colOff>
      <xdr:row>53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BEFE9B-8AAC-2390-C26A-EBE09BF61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335280</xdr:colOff>
      <xdr:row>8</xdr:row>
      <xdr:rowOff>121920</xdr:rowOff>
    </xdr:from>
    <xdr:to>
      <xdr:col>23</xdr:col>
      <xdr:colOff>60960</xdr:colOff>
      <xdr:row>23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766BD1-0CF3-C9A2-D94A-E3E6837A8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14</xdr:col>
      <xdr:colOff>297180</xdr:colOff>
      <xdr:row>33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5EEFD3-134B-155F-E456-7650A7EBFF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601980</xdr:colOff>
      <xdr:row>34</xdr:row>
      <xdr:rowOff>60960</xdr:rowOff>
    </xdr:from>
    <xdr:to>
      <xdr:col>14</xdr:col>
      <xdr:colOff>274320</xdr:colOff>
      <xdr:row>48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3E3501-2161-08F0-4D62-33B57DF54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594360</xdr:colOff>
      <xdr:row>50</xdr:row>
      <xdr:rowOff>68580</xdr:rowOff>
    </xdr:from>
    <xdr:to>
      <xdr:col>14</xdr:col>
      <xdr:colOff>259080</xdr:colOff>
      <xdr:row>64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2835A02-64A8-4AEF-5D4A-61A9BDBF0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198120</xdr:colOff>
      <xdr:row>50</xdr:row>
      <xdr:rowOff>45720</xdr:rowOff>
    </xdr:from>
    <xdr:to>
      <xdr:col>7</xdr:col>
      <xdr:colOff>533400</xdr:colOff>
      <xdr:row>64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255FF08-32FC-E63C-4ECC-B6FF9AE46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365760</xdr:colOff>
      <xdr:row>9</xdr:row>
      <xdr:rowOff>137160</xdr:rowOff>
    </xdr:from>
    <xdr:to>
      <xdr:col>14</xdr:col>
      <xdr:colOff>22860</xdr:colOff>
      <xdr:row>24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86ECA3-80C3-8F87-A0C0-A6729743A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350520</xdr:colOff>
      <xdr:row>25</xdr:row>
      <xdr:rowOff>60960</xdr:rowOff>
    </xdr:from>
    <xdr:to>
      <xdr:col>14</xdr:col>
      <xdr:colOff>30480</xdr:colOff>
      <xdr:row>39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FDA5C2-6209-51A9-8140-851D3E4D82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342900</xdr:colOff>
      <xdr:row>40</xdr:row>
      <xdr:rowOff>106680</xdr:rowOff>
    </xdr:from>
    <xdr:to>
      <xdr:col>14</xdr:col>
      <xdr:colOff>22860</xdr:colOff>
      <xdr:row>55</xdr:row>
      <xdr:rowOff>45720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F84524-DD2C-4878-3EAA-2AE2D084A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335280</xdr:colOff>
      <xdr:row>55</xdr:row>
      <xdr:rowOff>152400</xdr:rowOff>
    </xdr:from>
    <xdr:to>
      <xdr:col>14</xdr:col>
      <xdr:colOff>38100</xdr:colOff>
      <xdr:row>70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DFA21E-C157-EF67-F3E0-0562200A6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10</xdr:row>
      <xdr:rowOff>175260</xdr:rowOff>
    </xdr:from>
    <xdr:to>
      <xdr:col>13</xdr:col>
      <xdr:colOff>335280</xdr:colOff>
      <xdr:row>25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A492D7-B258-4E81-ED64-EDC18702B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518160</xdr:colOff>
      <xdr:row>10</xdr:row>
      <xdr:rowOff>175260</xdr:rowOff>
    </xdr:from>
    <xdr:to>
      <xdr:col>21</xdr:col>
      <xdr:colOff>213360</xdr:colOff>
      <xdr:row>25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A17CBF4-34E1-BC59-0181-AEF4C85A5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403860</xdr:colOff>
      <xdr:row>42</xdr:row>
      <xdr:rowOff>83820</xdr:rowOff>
    </xdr:from>
    <xdr:to>
      <xdr:col>14</xdr:col>
      <xdr:colOff>60960</xdr:colOff>
      <xdr:row>56</xdr:row>
      <xdr:rowOff>68580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A0437A-398C-8B62-14E5-8D7E4B6EC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99060</xdr:colOff>
      <xdr:row>42</xdr:row>
      <xdr:rowOff>99060</xdr:rowOff>
    </xdr:from>
    <xdr:to>
      <xdr:col>20</xdr:col>
      <xdr:colOff>396240</xdr:colOff>
      <xdr:row>56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75D34B-7356-CD63-D263-1BE3909F04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464820</xdr:colOff>
      <xdr:row>42</xdr:row>
      <xdr:rowOff>121920</xdr:rowOff>
    </xdr:from>
    <xdr:to>
      <xdr:col>27</xdr:col>
      <xdr:colOff>167640</xdr:colOff>
      <xdr:row>56</xdr:row>
      <xdr:rowOff>91440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3C9C699-BCFA-7F9F-D361-3215A776C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243840</xdr:colOff>
      <xdr:row>42</xdr:row>
      <xdr:rowOff>129540</xdr:rowOff>
    </xdr:from>
    <xdr:to>
      <xdr:col>33</xdr:col>
      <xdr:colOff>586740</xdr:colOff>
      <xdr:row>56</xdr:row>
      <xdr:rowOff>99060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B7AF60F-24BF-3CEF-A0BC-F8531F6A2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45720</xdr:colOff>
      <xdr:row>69</xdr:row>
      <xdr:rowOff>175260</xdr:rowOff>
    </xdr:from>
    <xdr:to>
      <xdr:col>13</xdr:col>
      <xdr:colOff>350520</xdr:colOff>
      <xdr:row>84</xdr:row>
      <xdr:rowOff>175260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9B39F18-DBDA-80BC-5D5C-72FC6149A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464820</xdr:colOff>
      <xdr:row>70</xdr:row>
      <xdr:rowOff>7620</xdr:rowOff>
    </xdr:from>
    <xdr:to>
      <xdr:col>21</xdr:col>
      <xdr:colOff>160020</xdr:colOff>
      <xdr:row>85</xdr:row>
      <xdr:rowOff>7620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5E08EF2-4FE5-9B99-E2BC-3477B5F74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205740</xdr:colOff>
      <xdr:row>69</xdr:row>
      <xdr:rowOff>76200</xdr:rowOff>
    </xdr:from>
    <xdr:to>
      <xdr:col>28</xdr:col>
      <xdr:colOff>510540</xdr:colOff>
      <xdr:row>84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3D69194-1A5B-A221-6084-2F9DB88EE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403860</xdr:colOff>
      <xdr:row>87</xdr:row>
      <xdr:rowOff>144780</xdr:rowOff>
    </xdr:from>
    <xdr:to>
      <xdr:col>20</xdr:col>
      <xdr:colOff>99060</xdr:colOff>
      <xdr:row>102</xdr:row>
      <xdr:rowOff>144780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556B889-3604-054C-D917-AFCCCA5E0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EFED-0743-4504-9FF7-403B49F620BA}">
  <dimension ref="A2:AX137"/>
  <sheetViews>
    <sheetView topLeftCell="A46" zoomScale="90" zoomScaleNormal="90" workbookViewId="0">
      <selection activeCell="F142" sqref="F142"/>
    </sheetView>
  </sheetViews>
  <sheetFormatPr defaultRowHeight="14.4" x14ac:dyDescent="0.3"/>
  <cols>
    <col min="1" max="1" width="11.88671875" customWidth="1"/>
    <col min="7" max="7" width="6.6640625" customWidth="1"/>
    <col min="8" max="8" width="6.77734375" customWidth="1"/>
    <col min="9" max="9" width="6.44140625" customWidth="1"/>
    <col min="10" max="10" width="6.21875" customWidth="1"/>
    <col min="13" max="14" width="9.33203125" bestFit="1" customWidth="1"/>
    <col min="15" max="15" width="10.33203125" bestFit="1" customWidth="1"/>
    <col min="47" max="47" width="15.109375" customWidth="1"/>
  </cols>
  <sheetData>
    <row r="2" spans="1:50" x14ac:dyDescent="0.3">
      <c r="A2" s="5" t="s">
        <v>0</v>
      </c>
    </row>
    <row r="3" spans="1:50" x14ac:dyDescent="0.3">
      <c r="A3" s="4" t="s">
        <v>1</v>
      </c>
    </row>
    <row r="4" spans="1:50" x14ac:dyDescent="0.3">
      <c r="A4" s="1" t="s">
        <v>2</v>
      </c>
      <c r="M4" s="11" t="s">
        <v>19</v>
      </c>
      <c r="X4" t="s">
        <v>59</v>
      </c>
      <c r="AL4" t="s">
        <v>18</v>
      </c>
      <c r="AW4" t="s">
        <v>20</v>
      </c>
      <c r="AX4" t="s">
        <v>21</v>
      </c>
    </row>
    <row r="5" spans="1:50" x14ac:dyDescent="0.3">
      <c r="A5" s="1"/>
      <c r="B5" s="2">
        <v>1</v>
      </c>
      <c r="C5" s="2" t="s">
        <v>7</v>
      </c>
      <c r="D5" s="2" t="s">
        <v>8</v>
      </c>
      <c r="E5" s="2" t="s">
        <v>9</v>
      </c>
      <c r="F5" s="7">
        <v>2</v>
      </c>
      <c r="G5" s="2" t="s">
        <v>10</v>
      </c>
      <c r="H5" s="7" t="s">
        <v>11</v>
      </c>
      <c r="I5" s="2">
        <v>6</v>
      </c>
      <c r="J5" s="2">
        <v>13</v>
      </c>
      <c r="K5" s="2" t="s">
        <v>12</v>
      </c>
      <c r="M5" s="2">
        <v>1</v>
      </c>
      <c r="N5" s="2" t="s">
        <v>7</v>
      </c>
      <c r="O5" s="2" t="s">
        <v>8</v>
      </c>
      <c r="P5" s="2" t="s">
        <v>9</v>
      </c>
      <c r="Q5" s="7">
        <v>2</v>
      </c>
      <c r="R5" s="2" t="s">
        <v>10</v>
      </c>
      <c r="S5" s="7" t="s">
        <v>11</v>
      </c>
      <c r="T5" s="2">
        <v>6</v>
      </c>
      <c r="U5" s="2">
        <v>13</v>
      </c>
      <c r="V5" s="2" t="s">
        <v>17</v>
      </c>
      <c r="X5" s="1"/>
      <c r="Y5" s="2">
        <v>1</v>
      </c>
      <c r="Z5" s="2" t="s">
        <v>7</v>
      </c>
      <c r="AA5" s="2" t="s">
        <v>8</v>
      </c>
      <c r="AB5" s="7" t="s">
        <v>9</v>
      </c>
      <c r="AC5" s="36">
        <v>2</v>
      </c>
      <c r="AD5" s="2" t="s">
        <v>10</v>
      </c>
      <c r="AE5" s="7" t="s">
        <v>11</v>
      </c>
      <c r="AF5" s="2">
        <v>6</v>
      </c>
      <c r="AG5" s="2">
        <v>13</v>
      </c>
      <c r="AH5" s="18" t="s">
        <v>62</v>
      </c>
      <c r="AI5" s="2" t="s">
        <v>12</v>
      </c>
      <c r="AL5" s="2">
        <v>1</v>
      </c>
      <c r="AM5" s="2" t="s">
        <v>7</v>
      </c>
      <c r="AN5" s="2" t="s">
        <v>8</v>
      </c>
      <c r="AO5" s="7" t="s">
        <v>9</v>
      </c>
      <c r="AP5" s="36">
        <v>2</v>
      </c>
      <c r="AQ5" s="2" t="s">
        <v>10</v>
      </c>
      <c r="AR5" s="7" t="s">
        <v>11</v>
      </c>
      <c r="AS5" s="2">
        <v>6</v>
      </c>
      <c r="AT5" s="2">
        <v>13</v>
      </c>
      <c r="AU5" s="2" t="s">
        <v>12</v>
      </c>
      <c r="AW5" t="s">
        <v>22</v>
      </c>
    </row>
    <row r="6" spans="1:50" x14ac:dyDescent="0.3">
      <c r="A6" t="s">
        <v>3</v>
      </c>
      <c r="B6" s="3">
        <v>0</v>
      </c>
      <c r="C6" s="3">
        <v>4</v>
      </c>
      <c r="D6" s="3">
        <v>1</v>
      </c>
      <c r="E6" s="3">
        <v>0</v>
      </c>
      <c r="F6" s="8">
        <v>14</v>
      </c>
      <c r="G6" s="3">
        <v>2</v>
      </c>
      <c r="H6" s="8">
        <v>16</v>
      </c>
      <c r="I6" s="3">
        <v>1</v>
      </c>
      <c r="J6" s="3">
        <v>2</v>
      </c>
      <c r="K6" s="3">
        <v>40</v>
      </c>
      <c r="M6" s="6">
        <v>0</v>
      </c>
      <c r="N6" s="6">
        <f>(4/40)*100</f>
        <v>10</v>
      </c>
      <c r="O6" s="6">
        <f>(1/40)*100</f>
        <v>2.5</v>
      </c>
      <c r="P6" s="6">
        <v>0</v>
      </c>
      <c r="Q6" s="9">
        <f>(14/40)*100</f>
        <v>35</v>
      </c>
      <c r="R6" s="6">
        <f>(2/40)*100</f>
        <v>5</v>
      </c>
      <c r="S6" s="9">
        <f>(16/40)*100</f>
        <v>40</v>
      </c>
      <c r="T6" s="6">
        <f>(1/40)*100</f>
        <v>2.5</v>
      </c>
      <c r="U6" s="6">
        <f>(2/40)*100</f>
        <v>5</v>
      </c>
      <c r="V6" s="3">
        <v>40</v>
      </c>
      <c r="X6" t="s">
        <v>3</v>
      </c>
      <c r="Y6" s="13">
        <v>0</v>
      </c>
      <c r="Z6" s="13">
        <v>0</v>
      </c>
      <c r="AA6" s="13">
        <v>0</v>
      </c>
      <c r="AB6" s="14">
        <v>0</v>
      </c>
      <c r="AC6" s="37">
        <v>0</v>
      </c>
      <c r="AD6" s="13">
        <v>0</v>
      </c>
      <c r="AE6" s="14">
        <v>16</v>
      </c>
      <c r="AF6" s="13">
        <v>0</v>
      </c>
      <c r="AG6" s="13">
        <v>0</v>
      </c>
      <c r="AH6" s="26">
        <v>24</v>
      </c>
      <c r="AI6" s="3">
        <v>40</v>
      </c>
      <c r="AL6" s="6">
        <v>0</v>
      </c>
      <c r="AM6" s="6">
        <v>0</v>
      </c>
      <c r="AN6" s="6">
        <v>0</v>
      </c>
      <c r="AO6" s="9">
        <v>0</v>
      </c>
      <c r="AP6" s="39">
        <v>0</v>
      </c>
      <c r="AQ6" s="6">
        <v>0</v>
      </c>
      <c r="AR6" s="9">
        <f>(16/40)*100</f>
        <v>40</v>
      </c>
      <c r="AS6" s="6">
        <v>0</v>
      </c>
      <c r="AT6" s="6">
        <v>0</v>
      </c>
      <c r="AU6" s="3">
        <v>40</v>
      </c>
      <c r="AW6">
        <f>24</f>
        <v>24</v>
      </c>
      <c r="AX6" s="15">
        <f>(AW6/40)*100</f>
        <v>60</v>
      </c>
    </row>
    <row r="7" spans="1:50" x14ac:dyDescent="0.3">
      <c r="A7" t="s">
        <v>4</v>
      </c>
      <c r="B7" s="3">
        <v>2</v>
      </c>
      <c r="C7" s="3">
        <v>8</v>
      </c>
      <c r="D7" s="3">
        <v>0</v>
      </c>
      <c r="E7" s="3">
        <v>2</v>
      </c>
      <c r="F7" s="8">
        <v>11</v>
      </c>
      <c r="G7" s="3">
        <v>0</v>
      </c>
      <c r="H7" s="8">
        <v>17</v>
      </c>
      <c r="I7" s="3">
        <v>0</v>
      </c>
      <c r="J7" s="3">
        <v>0</v>
      </c>
      <c r="K7" s="3">
        <v>40</v>
      </c>
      <c r="M7" s="6">
        <f>(2/40)*100</f>
        <v>5</v>
      </c>
      <c r="N7" s="6">
        <f>(8/40)*100</f>
        <v>20</v>
      </c>
      <c r="O7" s="6">
        <v>0</v>
      </c>
      <c r="P7" s="6">
        <f>(2/40)*100</f>
        <v>5</v>
      </c>
      <c r="Q7" s="9">
        <f>(11/40)*100</f>
        <v>27.500000000000004</v>
      </c>
      <c r="R7" s="6">
        <v>0</v>
      </c>
      <c r="S7" s="9">
        <f>(17/40)*100</f>
        <v>42.5</v>
      </c>
      <c r="T7" s="6">
        <v>0</v>
      </c>
      <c r="U7" s="6">
        <v>0</v>
      </c>
      <c r="V7" s="3">
        <v>40</v>
      </c>
      <c r="X7" t="s">
        <v>4</v>
      </c>
      <c r="Y7" s="13">
        <v>0</v>
      </c>
      <c r="Z7" s="13">
        <v>0</v>
      </c>
      <c r="AA7" s="13">
        <v>0</v>
      </c>
      <c r="AB7" s="14">
        <v>2</v>
      </c>
      <c r="AC7" s="37">
        <v>0</v>
      </c>
      <c r="AD7" s="13">
        <v>0</v>
      </c>
      <c r="AE7" s="14">
        <v>17</v>
      </c>
      <c r="AF7" s="13">
        <v>0</v>
      </c>
      <c r="AG7" s="13">
        <v>0</v>
      </c>
      <c r="AH7" s="26">
        <v>21</v>
      </c>
      <c r="AI7" s="3">
        <v>40</v>
      </c>
      <c r="AL7" s="6">
        <v>0</v>
      </c>
      <c r="AM7" s="6">
        <v>0</v>
      </c>
      <c r="AN7" s="6">
        <v>0</v>
      </c>
      <c r="AO7" s="9">
        <f>(2/40)*100</f>
        <v>5</v>
      </c>
      <c r="AP7" s="39">
        <v>0</v>
      </c>
      <c r="AQ7" s="6">
        <v>0</v>
      </c>
      <c r="AR7" s="9">
        <f>(17/40)*100</f>
        <v>42.5</v>
      </c>
      <c r="AS7" s="6">
        <v>0</v>
      </c>
      <c r="AT7" s="6">
        <v>0</v>
      </c>
      <c r="AU7" s="3">
        <v>40</v>
      </c>
      <c r="AW7">
        <f>21</f>
        <v>21</v>
      </c>
      <c r="AX7" s="15">
        <f t="shared" ref="AX7:AX8" si="0">(AW7/40)*100</f>
        <v>52.5</v>
      </c>
    </row>
    <row r="8" spans="1:50" x14ac:dyDescent="0.3">
      <c r="A8" t="s">
        <v>5</v>
      </c>
      <c r="B8" s="3">
        <v>0</v>
      </c>
      <c r="C8" s="3">
        <v>8</v>
      </c>
      <c r="D8" s="3">
        <v>0</v>
      </c>
      <c r="E8" s="3">
        <v>1</v>
      </c>
      <c r="F8" s="8">
        <v>23</v>
      </c>
      <c r="G8" s="3">
        <v>3</v>
      </c>
      <c r="H8" s="8">
        <v>5</v>
      </c>
      <c r="I8" s="3">
        <v>0</v>
      </c>
      <c r="J8" s="3">
        <v>0</v>
      </c>
      <c r="K8" s="3">
        <v>40</v>
      </c>
      <c r="M8" s="6">
        <v>0</v>
      </c>
      <c r="N8" s="6">
        <f>(8/40)*100</f>
        <v>20</v>
      </c>
      <c r="O8" s="6">
        <v>0</v>
      </c>
      <c r="P8" s="6">
        <f>(1/40)*100</f>
        <v>2.5</v>
      </c>
      <c r="Q8" s="9">
        <f>(23/40)*100</f>
        <v>57.499999999999993</v>
      </c>
      <c r="R8" s="6">
        <f>(3/40)*100</f>
        <v>7.5</v>
      </c>
      <c r="S8" s="9">
        <f>(5/40)*100</f>
        <v>12.5</v>
      </c>
      <c r="T8" s="6">
        <v>0</v>
      </c>
      <c r="U8" s="6">
        <v>0</v>
      </c>
      <c r="V8" s="3">
        <v>40</v>
      </c>
      <c r="X8" t="s">
        <v>5</v>
      </c>
      <c r="Y8" s="13">
        <v>0</v>
      </c>
      <c r="Z8" s="13">
        <v>0</v>
      </c>
      <c r="AA8" s="13">
        <v>0</v>
      </c>
      <c r="AB8" s="14">
        <v>1</v>
      </c>
      <c r="AC8" s="37">
        <v>0</v>
      </c>
      <c r="AD8" s="13">
        <v>0</v>
      </c>
      <c r="AE8" s="14">
        <v>5</v>
      </c>
      <c r="AF8" s="13">
        <v>0</v>
      </c>
      <c r="AG8" s="13">
        <v>0</v>
      </c>
      <c r="AH8" s="26">
        <v>34</v>
      </c>
      <c r="AI8" s="3">
        <v>40</v>
      </c>
      <c r="AL8" s="6">
        <v>0</v>
      </c>
      <c r="AM8" s="6">
        <v>0</v>
      </c>
      <c r="AN8" s="6">
        <v>0</v>
      </c>
      <c r="AO8" s="9">
        <f>(1/40)*100</f>
        <v>2.5</v>
      </c>
      <c r="AP8" s="39">
        <v>0</v>
      </c>
      <c r="AQ8" s="6">
        <v>0</v>
      </c>
      <c r="AR8" s="9">
        <f>(5/40)*100</f>
        <v>12.5</v>
      </c>
      <c r="AS8" s="6">
        <v>0</v>
      </c>
      <c r="AT8" s="6">
        <v>0</v>
      </c>
      <c r="AU8" s="3">
        <v>40</v>
      </c>
      <c r="AW8">
        <f>34</f>
        <v>34</v>
      </c>
      <c r="AX8" s="15">
        <f t="shared" si="0"/>
        <v>85</v>
      </c>
    </row>
    <row r="9" spans="1:50" x14ac:dyDescent="0.3">
      <c r="A9" t="s">
        <v>6</v>
      </c>
      <c r="B9" s="3">
        <v>2</v>
      </c>
      <c r="C9" s="3">
        <v>20</v>
      </c>
      <c r="D9" s="3">
        <v>1</v>
      </c>
      <c r="E9" s="3">
        <v>3</v>
      </c>
      <c r="F9" s="8">
        <v>48</v>
      </c>
      <c r="G9" s="3">
        <v>5</v>
      </c>
      <c r="H9" s="8">
        <v>38</v>
      </c>
      <c r="I9" s="3">
        <v>1</v>
      </c>
      <c r="J9" s="3">
        <v>2</v>
      </c>
      <c r="K9" s="3">
        <v>120</v>
      </c>
      <c r="M9" s="6">
        <f>(2/120)*100</f>
        <v>1.6666666666666667</v>
      </c>
      <c r="N9" s="6">
        <f>(20/120)*100</f>
        <v>16.666666666666664</v>
      </c>
      <c r="O9" s="6">
        <f>(1/120)*100</f>
        <v>0.83333333333333337</v>
      </c>
      <c r="P9" s="6">
        <f>(3/120)*100</f>
        <v>2.5</v>
      </c>
      <c r="Q9" s="9">
        <f>(48/120)*100</f>
        <v>40</v>
      </c>
      <c r="R9" s="6">
        <f>(5/120)*100</f>
        <v>4.1666666666666661</v>
      </c>
      <c r="S9" s="9">
        <f>(38/120)*100</f>
        <v>31.666666666666664</v>
      </c>
      <c r="T9" s="6">
        <f>(1/120)*100</f>
        <v>0.83333333333333337</v>
      </c>
      <c r="U9" s="6">
        <f>(2/120)*100</f>
        <v>1.6666666666666667</v>
      </c>
      <c r="V9" s="3">
        <v>120</v>
      </c>
      <c r="X9" t="s">
        <v>6</v>
      </c>
      <c r="Y9" s="13">
        <v>0</v>
      </c>
      <c r="Z9" s="13">
        <v>0</v>
      </c>
      <c r="AA9" s="13">
        <v>0</v>
      </c>
      <c r="AB9" s="14">
        <v>3</v>
      </c>
      <c r="AC9" s="37">
        <v>0</v>
      </c>
      <c r="AD9" s="13">
        <v>0</v>
      </c>
      <c r="AE9" s="14">
        <v>38</v>
      </c>
      <c r="AF9" s="13">
        <v>0</v>
      </c>
      <c r="AG9" s="13">
        <v>0</v>
      </c>
      <c r="AH9" s="26">
        <v>79</v>
      </c>
      <c r="AI9" s="3">
        <v>120</v>
      </c>
      <c r="AL9" s="6">
        <v>0</v>
      </c>
      <c r="AM9" s="6">
        <v>0</v>
      </c>
      <c r="AN9" s="6">
        <v>0</v>
      </c>
      <c r="AO9" s="9">
        <f>(3/120)*100</f>
        <v>2.5</v>
      </c>
      <c r="AP9" s="39">
        <v>0</v>
      </c>
      <c r="AQ9" s="6">
        <v>0</v>
      </c>
      <c r="AR9" s="9">
        <f>(38/120)*100</f>
        <v>31.666666666666664</v>
      </c>
      <c r="AS9" s="6">
        <v>0</v>
      </c>
      <c r="AT9" s="6">
        <v>0</v>
      </c>
      <c r="AU9" s="3">
        <v>120</v>
      </c>
      <c r="AW9">
        <f>79</f>
        <v>79</v>
      </c>
      <c r="AX9">
        <f>(AW9/120)*100</f>
        <v>65.833333333333329</v>
      </c>
    </row>
    <row r="11" spans="1:50" x14ac:dyDescent="0.3">
      <c r="A11" t="s">
        <v>0</v>
      </c>
    </row>
    <row r="12" spans="1:50" x14ac:dyDescent="0.3">
      <c r="A12" s="4" t="s">
        <v>13</v>
      </c>
    </row>
    <row r="13" spans="1:50" x14ac:dyDescent="0.3">
      <c r="A13" s="1" t="s">
        <v>2</v>
      </c>
      <c r="M13" s="11" t="s">
        <v>19</v>
      </c>
      <c r="X13" t="s">
        <v>60</v>
      </c>
      <c r="AL13" t="s">
        <v>18</v>
      </c>
      <c r="AW13" t="s">
        <v>20</v>
      </c>
      <c r="AX13" t="s">
        <v>21</v>
      </c>
    </row>
    <row r="14" spans="1:50" x14ac:dyDescent="0.3">
      <c r="A14" s="1"/>
      <c r="B14" s="2">
        <v>1</v>
      </c>
      <c r="C14" s="2" t="s">
        <v>7</v>
      </c>
      <c r="D14" s="2" t="s">
        <v>8</v>
      </c>
      <c r="E14" s="2" t="s">
        <v>9</v>
      </c>
      <c r="F14" s="7">
        <v>2</v>
      </c>
      <c r="G14" s="2" t="s">
        <v>10</v>
      </c>
      <c r="H14" s="7" t="s">
        <v>11</v>
      </c>
      <c r="I14" s="2">
        <v>6</v>
      </c>
      <c r="J14" s="2">
        <v>13</v>
      </c>
      <c r="K14" s="2" t="s">
        <v>12</v>
      </c>
      <c r="M14" s="2">
        <v>1</v>
      </c>
      <c r="N14" s="2" t="s">
        <v>7</v>
      </c>
      <c r="O14" s="2" t="s">
        <v>8</v>
      </c>
      <c r="P14" s="2" t="s">
        <v>9</v>
      </c>
      <c r="Q14" s="7">
        <v>2</v>
      </c>
      <c r="R14" s="2" t="s">
        <v>10</v>
      </c>
      <c r="S14" s="7" t="s">
        <v>11</v>
      </c>
      <c r="T14" s="2">
        <v>6</v>
      </c>
      <c r="U14" s="2">
        <v>13</v>
      </c>
      <c r="V14" s="2" t="s">
        <v>17</v>
      </c>
      <c r="X14" s="1"/>
      <c r="Y14" s="2">
        <v>1</v>
      </c>
      <c r="Z14" s="2" t="s">
        <v>7</v>
      </c>
      <c r="AA14" s="2" t="s">
        <v>8</v>
      </c>
      <c r="AB14" s="7" t="s">
        <v>9</v>
      </c>
      <c r="AC14" s="36">
        <v>2</v>
      </c>
      <c r="AD14" s="2" t="s">
        <v>10</v>
      </c>
      <c r="AE14" s="7" t="s">
        <v>11</v>
      </c>
      <c r="AF14" s="2">
        <v>6</v>
      </c>
      <c r="AG14" s="2">
        <v>13</v>
      </c>
      <c r="AH14" s="18" t="s">
        <v>62</v>
      </c>
      <c r="AI14" s="2" t="s">
        <v>12</v>
      </c>
      <c r="AL14" s="2">
        <v>1</v>
      </c>
      <c r="AM14" s="2" t="s">
        <v>7</v>
      </c>
      <c r="AN14" s="2" t="s">
        <v>8</v>
      </c>
      <c r="AO14" s="7" t="s">
        <v>9</v>
      </c>
      <c r="AP14" s="36">
        <v>2</v>
      </c>
      <c r="AQ14" s="2" t="s">
        <v>10</v>
      </c>
      <c r="AR14" s="7" t="s">
        <v>11</v>
      </c>
      <c r="AS14" s="2">
        <v>6</v>
      </c>
      <c r="AT14" s="2">
        <v>13</v>
      </c>
      <c r="AU14" s="2" t="s">
        <v>12</v>
      </c>
      <c r="AW14" t="s">
        <v>22</v>
      </c>
    </row>
    <row r="15" spans="1:50" x14ac:dyDescent="0.3">
      <c r="A15" t="s">
        <v>3</v>
      </c>
      <c r="B15" s="3">
        <v>0</v>
      </c>
      <c r="C15" s="3">
        <v>3</v>
      </c>
      <c r="D15" s="3">
        <v>1</v>
      </c>
      <c r="E15" s="3">
        <v>0</v>
      </c>
      <c r="F15" s="8">
        <v>14</v>
      </c>
      <c r="G15" s="3">
        <v>3</v>
      </c>
      <c r="H15" s="8">
        <v>16</v>
      </c>
      <c r="I15" s="3">
        <v>1</v>
      </c>
      <c r="J15" s="3">
        <v>2</v>
      </c>
      <c r="K15" s="3">
        <v>40</v>
      </c>
      <c r="M15" s="6">
        <v>0</v>
      </c>
      <c r="N15" s="6">
        <f>(3/40)*100</f>
        <v>7.5</v>
      </c>
      <c r="O15" s="6">
        <f>(1/40)*100</f>
        <v>2.5</v>
      </c>
      <c r="P15" s="6">
        <v>0</v>
      </c>
      <c r="Q15" s="9">
        <f>(14/40)*100</f>
        <v>35</v>
      </c>
      <c r="R15" s="6">
        <f>(3/40)*100</f>
        <v>7.5</v>
      </c>
      <c r="S15" s="9">
        <f>(16/40)*100</f>
        <v>40</v>
      </c>
      <c r="T15" s="6">
        <f>(1/40)*100</f>
        <v>2.5</v>
      </c>
      <c r="U15" s="6">
        <f>(2/40)*100</f>
        <v>5</v>
      </c>
      <c r="V15" s="3">
        <v>40</v>
      </c>
      <c r="X15" t="s">
        <v>3</v>
      </c>
      <c r="Y15" s="3">
        <v>0</v>
      </c>
      <c r="Z15" s="3">
        <v>0</v>
      </c>
      <c r="AA15" s="3">
        <v>0</v>
      </c>
      <c r="AB15" s="8">
        <v>0</v>
      </c>
      <c r="AC15" s="38">
        <v>0</v>
      </c>
      <c r="AD15" s="3">
        <v>0</v>
      </c>
      <c r="AE15" s="8">
        <v>16</v>
      </c>
      <c r="AF15" s="3">
        <v>0</v>
      </c>
      <c r="AG15" s="3">
        <v>0</v>
      </c>
      <c r="AH15" s="25">
        <v>24</v>
      </c>
      <c r="AI15" s="3">
        <v>40</v>
      </c>
      <c r="AL15" s="6">
        <v>0</v>
      </c>
      <c r="AM15" s="6">
        <v>0</v>
      </c>
      <c r="AN15" s="6">
        <v>0</v>
      </c>
      <c r="AO15" s="9">
        <v>0</v>
      </c>
      <c r="AP15" s="39">
        <v>0</v>
      </c>
      <c r="AQ15" s="6">
        <v>0</v>
      </c>
      <c r="AR15" s="9">
        <f>(16/40)*100</f>
        <v>40</v>
      </c>
      <c r="AS15" s="6">
        <v>0</v>
      </c>
      <c r="AT15" s="6">
        <v>0</v>
      </c>
      <c r="AU15" s="3">
        <v>40</v>
      </c>
      <c r="AW15">
        <f>24</f>
        <v>24</v>
      </c>
      <c r="AX15" s="15">
        <f>(AW15/40)*100</f>
        <v>60</v>
      </c>
    </row>
    <row r="16" spans="1:50" x14ac:dyDescent="0.3">
      <c r="A16" t="s">
        <v>4</v>
      </c>
      <c r="B16" s="3">
        <v>3</v>
      </c>
      <c r="C16" s="3">
        <v>7</v>
      </c>
      <c r="D16" s="3">
        <v>0</v>
      </c>
      <c r="E16" s="3">
        <v>4</v>
      </c>
      <c r="F16" s="8">
        <v>11</v>
      </c>
      <c r="G16" s="3">
        <v>0</v>
      </c>
      <c r="H16" s="8">
        <v>15</v>
      </c>
      <c r="I16" s="3">
        <v>0</v>
      </c>
      <c r="J16" s="3">
        <v>0</v>
      </c>
      <c r="K16" s="3">
        <v>40</v>
      </c>
      <c r="M16" s="6">
        <f>(3/40)*100</f>
        <v>7.5</v>
      </c>
      <c r="N16" s="6">
        <f>(7/40)*100</f>
        <v>17.5</v>
      </c>
      <c r="O16" s="6">
        <v>0</v>
      </c>
      <c r="P16" s="6">
        <f>(4/40)*100</f>
        <v>10</v>
      </c>
      <c r="Q16" s="9">
        <f>(11/40)*100</f>
        <v>27.500000000000004</v>
      </c>
      <c r="R16" s="6">
        <v>0</v>
      </c>
      <c r="S16" s="9">
        <f>(15/40)*100</f>
        <v>37.5</v>
      </c>
      <c r="T16" s="6">
        <v>0</v>
      </c>
      <c r="U16" s="6">
        <v>0</v>
      </c>
      <c r="V16" s="3">
        <v>40</v>
      </c>
      <c r="X16" t="s">
        <v>4</v>
      </c>
      <c r="Y16" s="3">
        <v>0</v>
      </c>
      <c r="Z16" s="3">
        <v>0</v>
      </c>
      <c r="AA16" s="3">
        <v>0</v>
      </c>
      <c r="AB16" s="8">
        <v>4</v>
      </c>
      <c r="AC16" s="38">
        <v>0</v>
      </c>
      <c r="AD16" s="3">
        <v>0</v>
      </c>
      <c r="AE16" s="8">
        <v>15</v>
      </c>
      <c r="AF16" s="3">
        <v>0</v>
      </c>
      <c r="AG16" s="3">
        <v>0</v>
      </c>
      <c r="AH16" s="25">
        <v>21</v>
      </c>
      <c r="AI16" s="3">
        <v>40</v>
      </c>
      <c r="AL16" s="6">
        <v>0</v>
      </c>
      <c r="AM16" s="6">
        <v>0</v>
      </c>
      <c r="AN16" s="6">
        <v>0</v>
      </c>
      <c r="AO16" s="9">
        <f>(4/40)*100</f>
        <v>10</v>
      </c>
      <c r="AP16" s="39">
        <v>0</v>
      </c>
      <c r="AQ16" s="6">
        <v>0</v>
      </c>
      <c r="AR16" s="9">
        <f>(15/40)*100</f>
        <v>37.5</v>
      </c>
      <c r="AS16" s="6">
        <v>0</v>
      </c>
      <c r="AT16" s="6">
        <v>0</v>
      </c>
      <c r="AU16" s="3">
        <v>40</v>
      </c>
      <c r="AW16">
        <f>21</f>
        <v>21</v>
      </c>
      <c r="AX16" s="15">
        <f t="shared" ref="AX16:AX17" si="1">(AW16/40)*100</f>
        <v>52.5</v>
      </c>
    </row>
    <row r="17" spans="1:50" x14ac:dyDescent="0.3">
      <c r="A17" t="s">
        <v>5</v>
      </c>
      <c r="B17" s="3">
        <v>0</v>
      </c>
      <c r="C17" s="3">
        <v>9</v>
      </c>
      <c r="D17" s="3">
        <v>1</v>
      </c>
      <c r="E17" s="3">
        <v>1</v>
      </c>
      <c r="F17" s="8">
        <v>20</v>
      </c>
      <c r="G17" s="3">
        <v>3</v>
      </c>
      <c r="H17" s="8">
        <v>6</v>
      </c>
      <c r="I17" s="3">
        <v>0</v>
      </c>
      <c r="J17" s="3">
        <v>0</v>
      </c>
      <c r="K17" s="3">
        <v>40</v>
      </c>
      <c r="M17" s="6">
        <v>0</v>
      </c>
      <c r="N17" s="6">
        <f>(9/40)*100</f>
        <v>22.5</v>
      </c>
      <c r="O17" s="6">
        <f>(1/40)*100</f>
        <v>2.5</v>
      </c>
      <c r="P17" s="6">
        <f>(1/40)*100</f>
        <v>2.5</v>
      </c>
      <c r="Q17" s="9">
        <f>(20/40)*100</f>
        <v>50</v>
      </c>
      <c r="R17" s="6">
        <f>(3/40)*100</f>
        <v>7.5</v>
      </c>
      <c r="S17" s="9">
        <f>(6/40)*100</f>
        <v>15</v>
      </c>
      <c r="T17" s="6">
        <v>0</v>
      </c>
      <c r="U17" s="6">
        <v>0</v>
      </c>
      <c r="V17" s="3">
        <v>40</v>
      </c>
      <c r="X17" t="s">
        <v>5</v>
      </c>
      <c r="Y17" s="3">
        <v>0</v>
      </c>
      <c r="Z17" s="3">
        <v>0</v>
      </c>
      <c r="AA17" s="3">
        <v>0</v>
      </c>
      <c r="AB17" s="8">
        <v>1</v>
      </c>
      <c r="AC17" s="38">
        <v>0</v>
      </c>
      <c r="AD17" s="3">
        <v>0</v>
      </c>
      <c r="AE17" s="8">
        <v>6</v>
      </c>
      <c r="AF17" s="3">
        <v>0</v>
      </c>
      <c r="AG17" s="3">
        <v>0</v>
      </c>
      <c r="AH17" s="25">
        <v>33</v>
      </c>
      <c r="AI17" s="3">
        <v>40</v>
      </c>
      <c r="AL17" s="6">
        <v>0</v>
      </c>
      <c r="AM17" s="6">
        <v>0</v>
      </c>
      <c r="AN17" s="6">
        <v>0</v>
      </c>
      <c r="AO17" s="9">
        <f>(1/40)*100</f>
        <v>2.5</v>
      </c>
      <c r="AP17" s="39">
        <v>0</v>
      </c>
      <c r="AQ17" s="6">
        <v>0</v>
      </c>
      <c r="AR17" s="9">
        <f>(6/40)*100</f>
        <v>15</v>
      </c>
      <c r="AS17" s="6">
        <v>0</v>
      </c>
      <c r="AT17" s="6">
        <v>0</v>
      </c>
      <c r="AU17" s="3">
        <v>40</v>
      </c>
      <c r="AW17">
        <f>33</f>
        <v>33</v>
      </c>
      <c r="AX17" s="15">
        <f t="shared" si="1"/>
        <v>82.5</v>
      </c>
    </row>
    <row r="18" spans="1:50" x14ac:dyDescent="0.3">
      <c r="A18" t="s">
        <v>6</v>
      </c>
      <c r="B18" s="3">
        <v>3</v>
      </c>
      <c r="C18" s="3">
        <v>19</v>
      </c>
      <c r="D18" s="3">
        <v>2</v>
      </c>
      <c r="E18" s="3">
        <v>5</v>
      </c>
      <c r="F18" s="8">
        <v>45</v>
      </c>
      <c r="G18" s="3">
        <v>6</v>
      </c>
      <c r="H18" s="8">
        <v>37</v>
      </c>
      <c r="I18" s="3">
        <v>1</v>
      </c>
      <c r="J18" s="3">
        <v>2</v>
      </c>
      <c r="K18" s="3">
        <v>120</v>
      </c>
      <c r="M18" s="6">
        <f>(3/120)*100</f>
        <v>2.5</v>
      </c>
      <c r="N18" s="6">
        <f>(19/120)*100</f>
        <v>15.833333333333332</v>
      </c>
      <c r="O18" s="6">
        <f>(2/120)*100</f>
        <v>1.6666666666666667</v>
      </c>
      <c r="P18" s="6">
        <f>(5/120)*100</f>
        <v>4.1666666666666661</v>
      </c>
      <c r="Q18" s="9">
        <f>(45/120)*100</f>
        <v>37.5</v>
      </c>
      <c r="R18" s="6">
        <f>(6/120)*100</f>
        <v>5</v>
      </c>
      <c r="S18" s="9">
        <f>(37/120)*100</f>
        <v>30.833333333333336</v>
      </c>
      <c r="T18" s="6">
        <f>(1/120)*100</f>
        <v>0.83333333333333337</v>
      </c>
      <c r="U18" s="6">
        <f>(2/120)*100</f>
        <v>1.6666666666666667</v>
      </c>
      <c r="V18" s="3">
        <v>120</v>
      </c>
      <c r="X18" t="s">
        <v>6</v>
      </c>
      <c r="Y18" s="3">
        <v>0</v>
      </c>
      <c r="Z18" s="3">
        <v>0</v>
      </c>
      <c r="AA18" s="3">
        <v>0</v>
      </c>
      <c r="AB18" s="8">
        <v>5</v>
      </c>
      <c r="AC18" s="38">
        <v>0</v>
      </c>
      <c r="AD18" s="3">
        <v>0</v>
      </c>
      <c r="AE18" s="8">
        <v>37</v>
      </c>
      <c r="AF18" s="3">
        <v>0</v>
      </c>
      <c r="AG18" s="3">
        <v>0</v>
      </c>
      <c r="AH18" s="25">
        <v>78</v>
      </c>
      <c r="AI18" s="3">
        <v>120</v>
      </c>
      <c r="AL18" s="6">
        <v>0</v>
      </c>
      <c r="AM18" s="6">
        <v>0</v>
      </c>
      <c r="AN18" s="6">
        <v>0</v>
      </c>
      <c r="AO18" s="9">
        <f>(5/120)*100</f>
        <v>4.1666666666666661</v>
      </c>
      <c r="AP18" s="39">
        <v>0</v>
      </c>
      <c r="AQ18" s="6">
        <v>0</v>
      </c>
      <c r="AR18" s="9">
        <f>(37/120)*100</f>
        <v>30.833333333333336</v>
      </c>
      <c r="AS18" s="6">
        <v>0</v>
      </c>
      <c r="AT18" s="6">
        <v>0</v>
      </c>
      <c r="AU18" s="3">
        <v>120</v>
      </c>
      <c r="AW18">
        <f>78</f>
        <v>78</v>
      </c>
      <c r="AX18" s="15">
        <f>(AW18/120)*100</f>
        <v>65</v>
      </c>
    </row>
    <row r="20" spans="1:50" x14ac:dyDescent="0.3">
      <c r="A20" t="s">
        <v>0</v>
      </c>
    </row>
    <row r="21" spans="1:50" x14ac:dyDescent="0.3">
      <c r="A21" s="4" t="s">
        <v>14</v>
      </c>
    </row>
    <row r="22" spans="1:50" x14ac:dyDescent="0.3">
      <c r="A22" s="1" t="s">
        <v>2</v>
      </c>
      <c r="M22" s="11" t="s">
        <v>19</v>
      </c>
      <c r="X22" t="s">
        <v>58</v>
      </c>
      <c r="AQ22" s="12" t="s">
        <v>18</v>
      </c>
      <c r="AR22" s="12"/>
      <c r="AS22" s="12"/>
      <c r="AT22" s="12"/>
      <c r="AU22" s="12"/>
      <c r="AV22" t="s">
        <v>20</v>
      </c>
    </row>
    <row r="23" spans="1:50" x14ac:dyDescent="0.3">
      <c r="A23" s="1"/>
      <c r="B23" s="2">
        <v>1</v>
      </c>
      <c r="C23" s="2" t="s">
        <v>7</v>
      </c>
      <c r="D23" s="2" t="s">
        <v>8</v>
      </c>
      <c r="E23" s="2" t="s">
        <v>9</v>
      </c>
      <c r="F23" s="7">
        <v>2</v>
      </c>
      <c r="G23" s="2" t="s">
        <v>10</v>
      </c>
      <c r="H23" s="7" t="s">
        <v>11</v>
      </c>
      <c r="I23" s="2">
        <v>6</v>
      </c>
      <c r="J23" s="2">
        <v>13</v>
      </c>
      <c r="K23" s="2" t="s">
        <v>12</v>
      </c>
      <c r="M23" s="2">
        <v>1</v>
      </c>
      <c r="N23" s="2" t="s">
        <v>7</v>
      </c>
      <c r="O23" s="2" t="s">
        <v>8</v>
      </c>
      <c r="P23" s="2" t="s">
        <v>9</v>
      </c>
      <c r="Q23" s="7">
        <v>2</v>
      </c>
      <c r="R23" s="2" t="s">
        <v>10</v>
      </c>
      <c r="S23" s="7" t="s">
        <v>11</v>
      </c>
      <c r="T23" s="2">
        <v>6</v>
      </c>
      <c r="U23" s="2">
        <v>13</v>
      </c>
      <c r="V23" s="2" t="s">
        <v>17</v>
      </c>
      <c r="X23" s="1"/>
      <c r="Y23" s="2">
        <v>1</v>
      </c>
      <c r="Z23" s="2" t="s">
        <v>7</v>
      </c>
      <c r="AA23" s="2" t="s">
        <v>8</v>
      </c>
      <c r="AB23" s="7" t="s">
        <v>9</v>
      </c>
      <c r="AC23" s="36">
        <v>2</v>
      </c>
      <c r="AD23" s="2" t="s">
        <v>10</v>
      </c>
      <c r="AE23" s="7" t="s">
        <v>11</v>
      </c>
      <c r="AF23" s="2">
        <v>6</v>
      </c>
      <c r="AG23" s="2">
        <v>13</v>
      </c>
      <c r="AH23" s="18" t="s">
        <v>61</v>
      </c>
      <c r="AI23" s="2" t="s">
        <v>12</v>
      </c>
      <c r="AL23" s="16"/>
      <c r="AM23" s="16">
        <v>5</v>
      </c>
      <c r="AN23" s="16" t="s">
        <v>61</v>
      </c>
      <c r="AO23" s="16" t="s">
        <v>39</v>
      </c>
      <c r="AQ23" s="1"/>
      <c r="AR23" s="7">
        <v>5</v>
      </c>
      <c r="AS23" s="18" t="s">
        <v>61</v>
      </c>
      <c r="AT23" s="2" t="s">
        <v>12</v>
      </c>
      <c r="AV23" t="s">
        <v>22</v>
      </c>
    </row>
    <row r="24" spans="1:50" x14ac:dyDescent="0.3">
      <c r="A24" t="s">
        <v>3</v>
      </c>
      <c r="B24" s="3">
        <v>0</v>
      </c>
      <c r="C24" s="3">
        <v>7</v>
      </c>
      <c r="D24" s="3">
        <v>2</v>
      </c>
      <c r="E24" s="3">
        <v>0</v>
      </c>
      <c r="F24" s="8">
        <v>28</v>
      </c>
      <c r="G24" s="3">
        <v>5</v>
      </c>
      <c r="H24" s="8">
        <v>32</v>
      </c>
      <c r="I24" s="3">
        <v>2</v>
      </c>
      <c r="J24" s="3">
        <v>4</v>
      </c>
      <c r="K24" s="3">
        <v>80</v>
      </c>
      <c r="M24" s="6">
        <v>0</v>
      </c>
      <c r="N24" s="6">
        <f>(7/80)*100</f>
        <v>8.75</v>
      </c>
      <c r="O24" s="6">
        <f>(2/80)*100</f>
        <v>2.5</v>
      </c>
      <c r="P24" s="6">
        <v>0</v>
      </c>
      <c r="Q24" s="9">
        <f>(28/80)*100</f>
        <v>35</v>
      </c>
      <c r="R24" s="6">
        <f>(5/80)*100</f>
        <v>6.25</v>
      </c>
      <c r="S24" s="9">
        <f>(32/80)*100</f>
        <v>40</v>
      </c>
      <c r="T24" s="6">
        <f>(2/80)*100</f>
        <v>2.5</v>
      </c>
      <c r="U24" s="6">
        <f>(4/80)*100</f>
        <v>5</v>
      </c>
      <c r="V24" s="3">
        <v>80</v>
      </c>
      <c r="X24" t="s">
        <v>3</v>
      </c>
      <c r="Y24" s="13">
        <v>0</v>
      </c>
      <c r="Z24" s="13">
        <v>0</v>
      </c>
      <c r="AA24" s="13">
        <v>0</v>
      </c>
      <c r="AB24" s="14">
        <v>0</v>
      </c>
      <c r="AC24" s="37">
        <v>0</v>
      </c>
      <c r="AD24" s="13">
        <v>0</v>
      </c>
      <c r="AE24" s="14">
        <v>32</v>
      </c>
      <c r="AF24" s="13">
        <v>0</v>
      </c>
      <c r="AG24" s="13">
        <v>0</v>
      </c>
      <c r="AH24" s="16">
        <v>48</v>
      </c>
      <c r="AI24" s="3">
        <v>80</v>
      </c>
      <c r="AL24" s="16" t="s">
        <v>3</v>
      </c>
      <c r="AM24" s="16">
        <v>32</v>
      </c>
      <c r="AN24" s="16">
        <v>48</v>
      </c>
      <c r="AO24" s="16">
        <v>80</v>
      </c>
      <c r="AQ24" t="s">
        <v>3</v>
      </c>
      <c r="AR24" s="32">
        <f>(32/80)</f>
        <v>0.4</v>
      </c>
      <c r="AS24" s="33">
        <f>(48/80)</f>
        <v>0.6</v>
      </c>
      <c r="AT24" s="3">
        <v>80</v>
      </c>
      <c r="AV24" s="16">
        <v>48</v>
      </c>
      <c r="AW24" s="30">
        <f>(AV24/80)</f>
        <v>0.6</v>
      </c>
    </row>
    <row r="25" spans="1:50" x14ac:dyDescent="0.3">
      <c r="A25" t="s">
        <v>4</v>
      </c>
      <c r="B25" s="3">
        <v>5</v>
      </c>
      <c r="C25" s="3">
        <v>15</v>
      </c>
      <c r="D25" s="3">
        <v>0</v>
      </c>
      <c r="E25" s="3">
        <v>6</v>
      </c>
      <c r="F25" s="8">
        <v>22</v>
      </c>
      <c r="G25" s="3">
        <v>0</v>
      </c>
      <c r="H25" s="8">
        <v>32</v>
      </c>
      <c r="I25" s="3">
        <v>0</v>
      </c>
      <c r="J25" s="3">
        <v>0</v>
      </c>
      <c r="K25" s="3">
        <v>80</v>
      </c>
      <c r="M25" s="6">
        <f>(5/80)*100</f>
        <v>6.25</v>
      </c>
      <c r="N25" s="6">
        <f>(15/80)*100</f>
        <v>18.75</v>
      </c>
      <c r="O25" s="6">
        <v>0</v>
      </c>
      <c r="P25" s="6">
        <f>(6/80)*100</f>
        <v>7.5</v>
      </c>
      <c r="Q25" s="9">
        <f>(22/80)*100</f>
        <v>27.500000000000004</v>
      </c>
      <c r="R25" s="6">
        <v>0</v>
      </c>
      <c r="S25" s="9">
        <f>(32/80)*100</f>
        <v>40</v>
      </c>
      <c r="T25" s="6">
        <v>0</v>
      </c>
      <c r="U25" s="6">
        <v>0</v>
      </c>
      <c r="V25" s="3">
        <v>80</v>
      </c>
      <c r="X25" t="s">
        <v>4</v>
      </c>
      <c r="Y25" s="13">
        <v>0</v>
      </c>
      <c r="Z25" s="13">
        <v>0</v>
      </c>
      <c r="AA25" s="13">
        <v>0</v>
      </c>
      <c r="AB25" s="14">
        <v>6</v>
      </c>
      <c r="AC25" s="37">
        <v>0</v>
      </c>
      <c r="AD25" s="13">
        <v>0</v>
      </c>
      <c r="AE25" s="14">
        <v>32</v>
      </c>
      <c r="AF25" s="13">
        <v>0</v>
      </c>
      <c r="AG25" s="13">
        <v>0</v>
      </c>
      <c r="AH25" s="16">
        <v>42</v>
      </c>
      <c r="AI25" s="3">
        <v>80</v>
      </c>
      <c r="AL25" s="16" t="s">
        <v>4</v>
      </c>
      <c r="AM25" s="16">
        <v>38</v>
      </c>
      <c r="AN25" s="16">
        <v>42</v>
      </c>
      <c r="AO25" s="16">
        <v>80</v>
      </c>
      <c r="AQ25" t="s">
        <v>4</v>
      </c>
      <c r="AR25" s="32">
        <f>(38/80)</f>
        <v>0.47499999999999998</v>
      </c>
      <c r="AS25" s="33">
        <f>(42/80)</f>
        <v>0.52500000000000002</v>
      </c>
      <c r="AT25" s="3">
        <v>80</v>
      </c>
      <c r="AV25" s="16">
        <v>42</v>
      </c>
      <c r="AW25" s="30">
        <f t="shared" ref="AW25:AW26" si="2">(AV25/80)</f>
        <v>0.52500000000000002</v>
      </c>
    </row>
    <row r="26" spans="1:50" x14ac:dyDescent="0.3">
      <c r="A26" t="s">
        <v>5</v>
      </c>
      <c r="B26" s="3">
        <v>0</v>
      </c>
      <c r="C26" s="3">
        <v>17</v>
      </c>
      <c r="D26" s="3">
        <v>1</v>
      </c>
      <c r="E26" s="3">
        <v>2</v>
      </c>
      <c r="F26" s="8">
        <v>43</v>
      </c>
      <c r="G26" s="3">
        <v>6</v>
      </c>
      <c r="H26" s="8">
        <v>11</v>
      </c>
      <c r="I26" s="3">
        <v>0</v>
      </c>
      <c r="J26" s="3">
        <v>0</v>
      </c>
      <c r="K26" s="3">
        <v>80</v>
      </c>
      <c r="M26" s="6">
        <v>0</v>
      </c>
      <c r="N26" s="6">
        <f>(17/80)*100</f>
        <v>21.25</v>
      </c>
      <c r="O26" s="6">
        <f>(1/80)*100</f>
        <v>1.25</v>
      </c>
      <c r="P26" s="6">
        <f>(2/80)*100</f>
        <v>2.5</v>
      </c>
      <c r="Q26" s="9">
        <f>(43/80)*100</f>
        <v>53.75</v>
      </c>
      <c r="R26" s="6">
        <f>(6/80)*100</f>
        <v>7.5</v>
      </c>
      <c r="S26" s="9">
        <f>(11/80)*100</f>
        <v>13.750000000000002</v>
      </c>
      <c r="T26" s="6">
        <v>0</v>
      </c>
      <c r="U26" s="6">
        <v>0</v>
      </c>
      <c r="V26" s="3">
        <v>80</v>
      </c>
      <c r="X26" t="s">
        <v>5</v>
      </c>
      <c r="Y26" s="13">
        <v>0</v>
      </c>
      <c r="Z26" s="13">
        <v>0</v>
      </c>
      <c r="AA26" s="13">
        <v>0</v>
      </c>
      <c r="AB26" s="14">
        <v>2</v>
      </c>
      <c r="AC26" s="37">
        <v>0</v>
      </c>
      <c r="AD26" s="13">
        <v>0</v>
      </c>
      <c r="AE26" s="14">
        <v>11</v>
      </c>
      <c r="AF26" s="13">
        <v>0</v>
      </c>
      <c r="AG26" s="13">
        <v>0</v>
      </c>
      <c r="AH26" s="16">
        <v>67</v>
      </c>
      <c r="AI26" s="3">
        <v>80</v>
      </c>
      <c r="AL26" s="16" t="s">
        <v>5</v>
      </c>
      <c r="AM26" s="16">
        <v>13</v>
      </c>
      <c r="AN26" s="16">
        <v>67</v>
      </c>
      <c r="AO26" s="16">
        <v>80</v>
      </c>
      <c r="AQ26" t="s">
        <v>5</v>
      </c>
      <c r="AR26" s="32">
        <f>(13/80)</f>
        <v>0.16250000000000001</v>
      </c>
      <c r="AS26" s="33">
        <f>(67/80)</f>
        <v>0.83750000000000002</v>
      </c>
      <c r="AT26" s="3">
        <v>80</v>
      </c>
      <c r="AV26" s="16">
        <v>67</v>
      </c>
      <c r="AW26" s="30">
        <f t="shared" si="2"/>
        <v>0.83750000000000002</v>
      </c>
    </row>
    <row r="27" spans="1:50" x14ac:dyDescent="0.3">
      <c r="A27" t="s">
        <v>6</v>
      </c>
      <c r="B27" s="3">
        <v>5</v>
      </c>
      <c r="C27" s="3">
        <v>39</v>
      </c>
      <c r="D27" s="3">
        <v>3</v>
      </c>
      <c r="E27" s="3">
        <v>8</v>
      </c>
      <c r="F27" s="8">
        <v>93</v>
      </c>
      <c r="G27" s="3">
        <v>11</v>
      </c>
      <c r="H27" s="8">
        <v>75</v>
      </c>
      <c r="I27" s="3">
        <v>2</v>
      </c>
      <c r="J27" s="3">
        <v>4</v>
      </c>
      <c r="K27" s="3">
        <v>240</v>
      </c>
      <c r="M27" s="6">
        <f>(5/240)*100</f>
        <v>2.083333333333333</v>
      </c>
      <c r="N27" s="6">
        <f>(39/240)*100</f>
        <v>16.25</v>
      </c>
      <c r="O27" s="6">
        <f>(3/240)*100</f>
        <v>1.25</v>
      </c>
      <c r="P27" s="6">
        <f>(8/240)*100</f>
        <v>3.3333333333333335</v>
      </c>
      <c r="Q27" s="9">
        <f>(93/240)*100</f>
        <v>38.75</v>
      </c>
      <c r="R27" s="6">
        <f>(11/240)*100</f>
        <v>4.583333333333333</v>
      </c>
      <c r="S27" s="9">
        <f>(75/240)*100</f>
        <v>31.25</v>
      </c>
      <c r="T27" s="6">
        <f>(2/240)*100</f>
        <v>0.83333333333333337</v>
      </c>
      <c r="U27" s="6">
        <f>(4/240)*100</f>
        <v>1.6666666666666667</v>
      </c>
      <c r="V27" s="3">
        <v>240</v>
      </c>
      <c r="X27" t="s">
        <v>6</v>
      </c>
      <c r="Y27" s="13">
        <v>0</v>
      </c>
      <c r="Z27" s="13">
        <v>0</v>
      </c>
      <c r="AA27" s="13">
        <v>0</v>
      </c>
      <c r="AB27" s="14">
        <v>8</v>
      </c>
      <c r="AC27" s="37">
        <v>0</v>
      </c>
      <c r="AD27" s="13">
        <v>0</v>
      </c>
      <c r="AE27" s="14">
        <v>75</v>
      </c>
      <c r="AF27" s="13">
        <v>0</v>
      </c>
      <c r="AG27" s="13">
        <v>0</v>
      </c>
      <c r="AH27" s="16">
        <v>157</v>
      </c>
      <c r="AI27" s="3">
        <v>240</v>
      </c>
      <c r="AL27" s="16" t="s">
        <v>6</v>
      </c>
      <c r="AM27" s="16">
        <v>83</v>
      </c>
      <c r="AN27" s="16">
        <v>157</v>
      </c>
      <c r="AO27" s="16">
        <v>240</v>
      </c>
      <c r="AQ27" t="s">
        <v>6</v>
      </c>
      <c r="AR27" s="32">
        <f>(83/240)</f>
        <v>0.34583333333333333</v>
      </c>
      <c r="AS27" s="33">
        <f>(157/240)</f>
        <v>0.65416666666666667</v>
      </c>
      <c r="AT27" s="3">
        <v>240</v>
      </c>
      <c r="AV27" s="16">
        <v>157</v>
      </c>
      <c r="AW27" s="30">
        <f>(AV27/240)</f>
        <v>0.65416666666666667</v>
      </c>
    </row>
    <row r="29" spans="1:50" x14ac:dyDescent="0.3">
      <c r="A29" s="5" t="s">
        <v>15</v>
      </c>
    </row>
    <row r="30" spans="1:50" x14ac:dyDescent="0.3">
      <c r="A30" s="4" t="s">
        <v>1</v>
      </c>
    </row>
    <row r="31" spans="1:50" x14ac:dyDescent="0.3">
      <c r="A31" s="1" t="s">
        <v>2</v>
      </c>
      <c r="M31" s="10" t="s">
        <v>19</v>
      </c>
      <c r="X31" t="s">
        <v>63</v>
      </c>
      <c r="AJ31" t="s">
        <v>57</v>
      </c>
      <c r="AU31" t="s">
        <v>36</v>
      </c>
      <c r="AV31" t="s">
        <v>34</v>
      </c>
    </row>
    <row r="32" spans="1:50" x14ac:dyDescent="0.3">
      <c r="A32" s="1"/>
      <c r="B32" s="2" t="s">
        <v>29</v>
      </c>
      <c r="C32" s="2" t="s">
        <v>30</v>
      </c>
      <c r="D32" s="2">
        <v>9</v>
      </c>
      <c r="E32" s="2" t="s">
        <v>31</v>
      </c>
      <c r="F32" s="2" t="s">
        <v>32</v>
      </c>
      <c r="G32" s="2" t="s">
        <v>33</v>
      </c>
      <c r="H32" s="2">
        <v>13</v>
      </c>
      <c r="I32" s="2" t="s">
        <v>12</v>
      </c>
      <c r="M32" s="2" t="s">
        <v>29</v>
      </c>
      <c r="N32" s="2" t="s">
        <v>30</v>
      </c>
      <c r="O32" s="2">
        <v>9</v>
      </c>
      <c r="P32" s="2" t="s">
        <v>31</v>
      </c>
      <c r="Q32" s="2" t="s">
        <v>32</v>
      </c>
      <c r="R32" s="2" t="s">
        <v>33</v>
      </c>
      <c r="S32" s="2">
        <v>13</v>
      </c>
      <c r="T32" s="2" t="s">
        <v>17</v>
      </c>
      <c r="X32" s="1"/>
      <c r="Y32" s="2" t="s">
        <v>29</v>
      </c>
      <c r="Z32" s="2" t="s">
        <v>30</v>
      </c>
      <c r="AA32" s="2">
        <v>9</v>
      </c>
      <c r="AB32" s="2" t="s">
        <v>31</v>
      </c>
      <c r="AC32" s="2" t="s">
        <v>32</v>
      </c>
      <c r="AD32" s="2" t="s">
        <v>33</v>
      </c>
      <c r="AE32" s="2">
        <v>13</v>
      </c>
      <c r="AF32" s="27" t="s">
        <v>61</v>
      </c>
      <c r="AG32" s="2" t="s">
        <v>12</v>
      </c>
      <c r="AJ32" s="2" t="s">
        <v>29</v>
      </c>
      <c r="AK32" s="2" t="s">
        <v>30</v>
      </c>
      <c r="AL32" s="2">
        <v>9</v>
      </c>
      <c r="AM32" s="2" t="s">
        <v>31</v>
      </c>
      <c r="AN32" s="2" t="s">
        <v>32</v>
      </c>
      <c r="AO32" s="2" t="s">
        <v>33</v>
      </c>
      <c r="AP32" s="2">
        <v>13</v>
      </c>
      <c r="AQ32" s="2" t="s">
        <v>12</v>
      </c>
      <c r="AU32" t="s">
        <v>22</v>
      </c>
    </row>
    <row r="33" spans="1:48" x14ac:dyDescent="0.3">
      <c r="A33" t="s">
        <v>3</v>
      </c>
      <c r="B33" s="3">
        <v>0</v>
      </c>
      <c r="C33" s="3">
        <v>0</v>
      </c>
      <c r="D33" s="8">
        <v>14</v>
      </c>
      <c r="E33" s="3">
        <v>0</v>
      </c>
      <c r="F33" s="3">
        <v>0</v>
      </c>
      <c r="G33" s="8">
        <v>1</v>
      </c>
      <c r="H33" s="3">
        <v>25</v>
      </c>
      <c r="I33" s="3">
        <v>40</v>
      </c>
      <c r="M33" s="6">
        <v>0</v>
      </c>
      <c r="N33" s="6">
        <v>0</v>
      </c>
      <c r="O33" s="9">
        <f>(14/40)*100</f>
        <v>35</v>
      </c>
      <c r="P33" s="6">
        <v>0</v>
      </c>
      <c r="Q33" s="6">
        <v>0</v>
      </c>
      <c r="R33" s="9">
        <f>(1/40)*100</f>
        <v>2.5</v>
      </c>
      <c r="S33" s="9">
        <f>(25/40)*100</f>
        <v>62.5</v>
      </c>
      <c r="T33" s="3">
        <v>40</v>
      </c>
      <c r="X33" t="s">
        <v>3</v>
      </c>
      <c r="Y33" s="3">
        <v>0</v>
      </c>
      <c r="Z33" s="3">
        <v>0</v>
      </c>
      <c r="AA33" s="8">
        <v>0</v>
      </c>
      <c r="AB33" s="3">
        <v>0</v>
      </c>
      <c r="AC33" s="3">
        <v>0</v>
      </c>
      <c r="AD33" s="8">
        <v>1</v>
      </c>
      <c r="AE33" s="3">
        <v>0</v>
      </c>
      <c r="AF33" s="25">
        <v>39</v>
      </c>
      <c r="AG33" s="3">
        <v>40</v>
      </c>
      <c r="AJ33" s="6">
        <v>0</v>
      </c>
      <c r="AK33" s="6">
        <v>0</v>
      </c>
      <c r="AL33" s="9">
        <v>0</v>
      </c>
      <c r="AM33" s="6">
        <v>0</v>
      </c>
      <c r="AN33" s="6">
        <v>0</v>
      </c>
      <c r="AO33" s="9">
        <f>(1/40)*100</f>
        <v>2.5</v>
      </c>
      <c r="AP33" s="6">
        <v>0</v>
      </c>
      <c r="AQ33" s="3">
        <v>40</v>
      </c>
      <c r="AU33">
        <f>39</f>
        <v>39</v>
      </c>
      <c r="AV33" s="15">
        <f>(AU33/40)*100</f>
        <v>97.5</v>
      </c>
    </row>
    <row r="34" spans="1:48" x14ac:dyDescent="0.3">
      <c r="A34" t="s">
        <v>4</v>
      </c>
      <c r="B34" s="3">
        <v>1</v>
      </c>
      <c r="C34" s="3">
        <v>1</v>
      </c>
      <c r="D34" s="8">
        <v>13</v>
      </c>
      <c r="E34" s="3">
        <v>1</v>
      </c>
      <c r="F34" s="3">
        <v>0</v>
      </c>
      <c r="G34" s="8">
        <v>17</v>
      </c>
      <c r="H34" s="3">
        <v>7</v>
      </c>
      <c r="I34" s="3">
        <v>40</v>
      </c>
      <c r="M34" s="6">
        <f>(1/40)*100</f>
        <v>2.5</v>
      </c>
      <c r="N34" s="6">
        <f>(1/40)*100</f>
        <v>2.5</v>
      </c>
      <c r="O34" s="9">
        <f>(13/40)*100</f>
        <v>32.5</v>
      </c>
      <c r="P34" s="6">
        <f>(1/40)*100</f>
        <v>2.5</v>
      </c>
      <c r="Q34" s="6">
        <v>0</v>
      </c>
      <c r="R34" s="9">
        <f>(17/40)*100</f>
        <v>42.5</v>
      </c>
      <c r="S34" s="9">
        <f>(7/40)*100</f>
        <v>17.5</v>
      </c>
      <c r="T34" s="3">
        <v>40</v>
      </c>
      <c r="X34" t="s">
        <v>4</v>
      </c>
      <c r="Y34" s="3">
        <v>0</v>
      </c>
      <c r="Z34" s="3">
        <v>1</v>
      </c>
      <c r="AA34" s="8">
        <v>0</v>
      </c>
      <c r="AB34" s="3">
        <v>0</v>
      </c>
      <c r="AC34" s="3">
        <v>0</v>
      </c>
      <c r="AD34" s="8">
        <v>17</v>
      </c>
      <c r="AE34" s="3">
        <v>0</v>
      </c>
      <c r="AF34" s="25">
        <v>22</v>
      </c>
      <c r="AG34" s="3">
        <v>40</v>
      </c>
      <c r="AJ34" s="6">
        <v>0</v>
      </c>
      <c r="AK34" s="6">
        <f>(1/40)*100</f>
        <v>2.5</v>
      </c>
      <c r="AL34" s="9">
        <v>0</v>
      </c>
      <c r="AM34" s="6">
        <v>0</v>
      </c>
      <c r="AN34" s="6">
        <v>0</v>
      </c>
      <c r="AO34" s="9">
        <f>(17/40)*100</f>
        <v>42.5</v>
      </c>
      <c r="AP34" s="6">
        <v>0</v>
      </c>
      <c r="AQ34" s="3">
        <v>40</v>
      </c>
      <c r="AU34">
        <f>22</f>
        <v>22</v>
      </c>
      <c r="AV34" s="15">
        <f t="shared" ref="AV34:AV35" si="3">(AU34/40)*100</f>
        <v>55.000000000000007</v>
      </c>
    </row>
    <row r="35" spans="1:48" x14ac:dyDescent="0.3">
      <c r="A35" t="s">
        <v>5</v>
      </c>
      <c r="B35" s="3">
        <v>0</v>
      </c>
      <c r="C35" s="3">
        <v>0</v>
      </c>
      <c r="D35" s="8">
        <v>17</v>
      </c>
      <c r="E35" s="3">
        <v>0</v>
      </c>
      <c r="F35" s="3">
        <v>0</v>
      </c>
      <c r="G35" s="8">
        <v>15</v>
      </c>
      <c r="H35" s="3">
        <v>8</v>
      </c>
      <c r="I35" s="3">
        <v>40</v>
      </c>
      <c r="M35" s="6">
        <v>0</v>
      </c>
      <c r="N35" s="6">
        <v>0</v>
      </c>
      <c r="O35" s="9">
        <f>(17/40)*100</f>
        <v>42.5</v>
      </c>
      <c r="P35" s="6">
        <v>0</v>
      </c>
      <c r="Q35" s="6">
        <v>0</v>
      </c>
      <c r="R35" s="9">
        <f>(15/40)*100</f>
        <v>37.5</v>
      </c>
      <c r="S35" s="9">
        <f>(8/40)*100</f>
        <v>20</v>
      </c>
      <c r="T35" s="3">
        <v>40</v>
      </c>
      <c r="X35" t="s">
        <v>5</v>
      </c>
      <c r="Y35" s="3">
        <v>0</v>
      </c>
      <c r="Z35" s="3">
        <v>0</v>
      </c>
      <c r="AA35" s="8">
        <v>0</v>
      </c>
      <c r="AB35" s="3">
        <v>0</v>
      </c>
      <c r="AC35" s="3">
        <v>0</v>
      </c>
      <c r="AD35" s="8">
        <v>15</v>
      </c>
      <c r="AE35" s="3">
        <v>0</v>
      </c>
      <c r="AF35" s="25">
        <v>25</v>
      </c>
      <c r="AG35" s="3">
        <v>40</v>
      </c>
      <c r="AJ35" s="6">
        <v>0</v>
      </c>
      <c r="AK35" s="6">
        <v>0</v>
      </c>
      <c r="AL35" s="9">
        <v>0</v>
      </c>
      <c r="AM35" s="6">
        <v>0</v>
      </c>
      <c r="AN35" s="6">
        <v>0</v>
      </c>
      <c r="AO35" s="9">
        <f>(15/40)*100</f>
        <v>37.5</v>
      </c>
      <c r="AP35" s="6">
        <v>0</v>
      </c>
      <c r="AQ35" s="3">
        <v>40</v>
      </c>
      <c r="AU35">
        <f>25</f>
        <v>25</v>
      </c>
      <c r="AV35" s="15">
        <f t="shared" si="3"/>
        <v>62.5</v>
      </c>
    </row>
    <row r="36" spans="1:48" x14ac:dyDescent="0.3">
      <c r="A36" t="s">
        <v>6</v>
      </c>
      <c r="B36" s="3">
        <v>1</v>
      </c>
      <c r="C36" s="3">
        <v>1</v>
      </c>
      <c r="D36" s="8">
        <v>44</v>
      </c>
      <c r="E36" s="3">
        <v>1</v>
      </c>
      <c r="F36" s="3">
        <v>0</v>
      </c>
      <c r="G36" s="8">
        <v>33</v>
      </c>
      <c r="H36" s="3">
        <v>40</v>
      </c>
      <c r="I36" s="3">
        <v>120</v>
      </c>
      <c r="M36" s="6">
        <f>(1/120)*100</f>
        <v>0.83333333333333337</v>
      </c>
      <c r="N36" s="6">
        <f>(1/120)*100</f>
        <v>0.83333333333333337</v>
      </c>
      <c r="O36" s="9">
        <f>(44/120)*100</f>
        <v>36.666666666666664</v>
      </c>
      <c r="P36" s="6">
        <f>(1/120)*100</f>
        <v>0.83333333333333337</v>
      </c>
      <c r="Q36" s="6">
        <v>0</v>
      </c>
      <c r="R36" s="9">
        <f>(33/120)*100</f>
        <v>27.500000000000004</v>
      </c>
      <c r="S36" s="9">
        <f>(40/120)*100</f>
        <v>33.333333333333329</v>
      </c>
      <c r="T36" s="3">
        <v>120</v>
      </c>
      <c r="X36" t="s">
        <v>6</v>
      </c>
      <c r="Y36" s="3">
        <v>0</v>
      </c>
      <c r="Z36" s="3">
        <v>1</v>
      </c>
      <c r="AA36" s="8">
        <v>0</v>
      </c>
      <c r="AB36" s="3">
        <v>0</v>
      </c>
      <c r="AC36" s="3">
        <v>0</v>
      </c>
      <c r="AD36" s="8">
        <v>33</v>
      </c>
      <c r="AE36" s="3">
        <v>0</v>
      </c>
      <c r="AF36" s="25">
        <v>86</v>
      </c>
      <c r="AG36" s="3">
        <v>120</v>
      </c>
      <c r="AJ36" s="6">
        <v>0</v>
      </c>
      <c r="AK36" s="6">
        <f>(1/120)*100</f>
        <v>0.83333333333333337</v>
      </c>
      <c r="AL36" s="9">
        <v>0</v>
      </c>
      <c r="AM36" s="6">
        <v>0</v>
      </c>
      <c r="AN36" s="6">
        <v>0</v>
      </c>
      <c r="AO36" s="9">
        <f>(33/120)*100</f>
        <v>27.500000000000004</v>
      </c>
      <c r="AP36" s="6">
        <v>0</v>
      </c>
      <c r="AQ36" s="3">
        <v>120</v>
      </c>
      <c r="AU36">
        <f>86</f>
        <v>86</v>
      </c>
      <c r="AV36" s="15">
        <f>(AU36/120)*100</f>
        <v>71.666666666666671</v>
      </c>
    </row>
    <row r="38" spans="1:48" x14ac:dyDescent="0.3">
      <c r="A38" t="s">
        <v>15</v>
      </c>
    </row>
    <row r="39" spans="1:48" x14ac:dyDescent="0.3">
      <c r="A39" s="4" t="s">
        <v>13</v>
      </c>
    </row>
    <row r="40" spans="1:48" x14ac:dyDescent="0.3">
      <c r="A40" s="1" t="s">
        <v>2</v>
      </c>
      <c r="M40" s="10" t="s">
        <v>19</v>
      </c>
      <c r="X40" t="s">
        <v>64</v>
      </c>
      <c r="AJ40" t="s">
        <v>57</v>
      </c>
      <c r="AU40" t="s">
        <v>36</v>
      </c>
      <c r="AV40" t="s">
        <v>35</v>
      </c>
    </row>
    <row r="41" spans="1:48" x14ac:dyDescent="0.3">
      <c r="A41" s="1"/>
      <c r="B41" s="2" t="s">
        <v>29</v>
      </c>
      <c r="C41" s="2" t="s">
        <v>30</v>
      </c>
      <c r="D41" s="2">
        <v>9</v>
      </c>
      <c r="E41" s="2" t="s">
        <v>31</v>
      </c>
      <c r="F41" s="2" t="s">
        <v>32</v>
      </c>
      <c r="G41" s="2" t="s">
        <v>33</v>
      </c>
      <c r="H41" s="2">
        <v>13</v>
      </c>
      <c r="I41" s="2" t="s">
        <v>12</v>
      </c>
      <c r="M41" s="2" t="s">
        <v>29</v>
      </c>
      <c r="N41" s="2" t="s">
        <v>30</v>
      </c>
      <c r="O41" s="2">
        <v>9</v>
      </c>
      <c r="P41" s="2" t="s">
        <v>31</v>
      </c>
      <c r="Q41" s="2" t="s">
        <v>32</v>
      </c>
      <c r="R41" s="2" t="s">
        <v>33</v>
      </c>
      <c r="S41" s="2">
        <v>13</v>
      </c>
      <c r="T41" s="2" t="s">
        <v>17</v>
      </c>
      <c r="X41" s="1"/>
      <c r="Y41" s="2" t="s">
        <v>29</v>
      </c>
      <c r="Z41" s="2" t="s">
        <v>30</v>
      </c>
      <c r="AA41" s="2">
        <v>9</v>
      </c>
      <c r="AB41" s="2" t="s">
        <v>31</v>
      </c>
      <c r="AC41" s="2" t="s">
        <v>32</v>
      </c>
      <c r="AD41" s="2" t="s">
        <v>33</v>
      </c>
      <c r="AE41" s="2">
        <v>13</v>
      </c>
      <c r="AF41" s="27" t="s">
        <v>61</v>
      </c>
      <c r="AG41" s="2" t="s">
        <v>12</v>
      </c>
      <c r="AJ41" s="2" t="s">
        <v>29</v>
      </c>
      <c r="AK41" s="2" t="s">
        <v>30</v>
      </c>
      <c r="AL41" s="2">
        <v>9</v>
      </c>
      <c r="AM41" s="2" t="s">
        <v>31</v>
      </c>
      <c r="AN41" s="2" t="s">
        <v>32</v>
      </c>
      <c r="AO41" s="2" t="s">
        <v>33</v>
      </c>
      <c r="AP41" s="2">
        <v>13</v>
      </c>
      <c r="AQ41" s="2" t="s">
        <v>12</v>
      </c>
      <c r="AU41" t="s">
        <v>22</v>
      </c>
    </row>
    <row r="42" spans="1:48" x14ac:dyDescent="0.3">
      <c r="A42" t="s">
        <v>3</v>
      </c>
      <c r="B42" s="3">
        <v>0</v>
      </c>
      <c r="C42" s="3">
        <v>0</v>
      </c>
      <c r="D42" s="8">
        <v>14</v>
      </c>
      <c r="E42" s="3">
        <v>0</v>
      </c>
      <c r="F42" s="3">
        <v>0</v>
      </c>
      <c r="G42" s="8">
        <v>1</v>
      </c>
      <c r="H42" s="3">
        <v>25</v>
      </c>
      <c r="I42" s="3">
        <v>40</v>
      </c>
      <c r="M42" s="6">
        <v>0</v>
      </c>
      <c r="N42" s="6">
        <v>0</v>
      </c>
      <c r="O42" s="9">
        <f>(14/40)*100</f>
        <v>35</v>
      </c>
      <c r="P42" s="6">
        <v>0</v>
      </c>
      <c r="Q42" s="6">
        <v>0</v>
      </c>
      <c r="R42" s="9">
        <f>(1/40)*100</f>
        <v>2.5</v>
      </c>
      <c r="S42" s="9">
        <f>(25/40)*100</f>
        <v>62.5</v>
      </c>
      <c r="T42" s="3">
        <v>40</v>
      </c>
      <c r="X42" t="s">
        <v>3</v>
      </c>
      <c r="Y42" s="3">
        <v>0</v>
      </c>
      <c r="Z42" s="3">
        <v>0</v>
      </c>
      <c r="AA42" s="8">
        <v>0</v>
      </c>
      <c r="AB42" s="3">
        <v>0</v>
      </c>
      <c r="AC42" s="3">
        <v>0</v>
      </c>
      <c r="AD42" s="8">
        <v>1</v>
      </c>
      <c r="AE42" s="3">
        <v>0</v>
      </c>
      <c r="AF42" s="25">
        <v>39</v>
      </c>
      <c r="AG42" s="3">
        <v>40</v>
      </c>
      <c r="AJ42" s="6">
        <v>0</v>
      </c>
      <c r="AK42" s="6">
        <v>0</v>
      </c>
      <c r="AL42" s="9">
        <v>0</v>
      </c>
      <c r="AM42" s="6">
        <v>0</v>
      </c>
      <c r="AN42" s="6">
        <v>0</v>
      </c>
      <c r="AO42" s="9">
        <f>(1/40)*100</f>
        <v>2.5</v>
      </c>
      <c r="AP42" s="6">
        <v>0</v>
      </c>
      <c r="AQ42" s="3">
        <v>40</v>
      </c>
      <c r="AU42">
        <f>39</f>
        <v>39</v>
      </c>
      <c r="AV42">
        <f>(AU42/40)*100</f>
        <v>97.5</v>
      </c>
    </row>
    <row r="43" spans="1:48" x14ac:dyDescent="0.3">
      <c r="A43" t="s">
        <v>4</v>
      </c>
      <c r="B43" s="3">
        <v>1</v>
      </c>
      <c r="C43" s="3">
        <v>1</v>
      </c>
      <c r="D43" s="8">
        <v>13</v>
      </c>
      <c r="E43" s="3">
        <v>0</v>
      </c>
      <c r="F43" s="3">
        <v>1</v>
      </c>
      <c r="G43" s="8">
        <v>17</v>
      </c>
      <c r="H43" s="3">
        <v>7</v>
      </c>
      <c r="I43" s="3">
        <v>40</v>
      </c>
      <c r="M43" s="6">
        <f>(1/40)*100</f>
        <v>2.5</v>
      </c>
      <c r="N43" s="6">
        <f>(1/40)*100</f>
        <v>2.5</v>
      </c>
      <c r="O43" s="9">
        <f>(13/40)*100</f>
        <v>32.5</v>
      </c>
      <c r="P43" s="6">
        <v>0</v>
      </c>
      <c r="Q43" s="6">
        <f>(1/40)*100</f>
        <v>2.5</v>
      </c>
      <c r="R43" s="9">
        <f>(17/40)*100</f>
        <v>42.5</v>
      </c>
      <c r="S43" s="9">
        <f>(7/40)*100</f>
        <v>17.5</v>
      </c>
      <c r="T43" s="3">
        <v>40</v>
      </c>
      <c r="X43" t="s">
        <v>4</v>
      </c>
      <c r="Y43" s="3">
        <v>0</v>
      </c>
      <c r="Z43" s="3">
        <v>1</v>
      </c>
      <c r="AA43" s="8">
        <v>0</v>
      </c>
      <c r="AB43" s="3">
        <v>0</v>
      </c>
      <c r="AC43" s="3">
        <v>1</v>
      </c>
      <c r="AD43" s="8">
        <v>17</v>
      </c>
      <c r="AE43" s="3">
        <v>0</v>
      </c>
      <c r="AF43" s="25">
        <v>21</v>
      </c>
      <c r="AG43" s="3">
        <v>40</v>
      </c>
      <c r="AJ43" s="6">
        <v>0</v>
      </c>
      <c r="AK43" s="6">
        <f>(1/40)*100</f>
        <v>2.5</v>
      </c>
      <c r="AL43" s="9">
        <v>0</v>
      </c>
      <c r="AM43" s="6">
        <v>0</v>
      </c>
      <c r="AN43" s="6">
        <f>(1/40)*100</f>
        <v>2.5</v>
      </c>
      <c r="AO43" s="9">
        <f>(17/40)*100</f>
        <v>42.5</v>
      </c>
      <c r="AP43" s="6">
        <v>0</v>
      </c>
      <c r="AQ43" s="3">
        <v>40</v>
      </c>
      <c r="AU43">
        <f>21</f>
        <v>21</v>
      </c>
      <c r="AV43">
        <f t="shared" ref="AV43:AV44" si="4">(AU43/40)*100</f>
        <v>52.5</v>
      </c>
    </row>
    <row r="44" spans="1:48" x14ac:dyDescent="0.3">
      <c r="A44" t="s">
        <v>5</v>
      </c>
      <c r="B44" s="3">
        <v>0</v>
      </c>
      <c r="C44" s="3">
        <v>0</v>
      </c>
      <c r="D44" s="8">
        <v>17</v>
      </c>
      <c r="E44" s="3">
        <v>0</v>
      </c>
      <c r="F44" s="3">
        <v>0</v>
      </c>
      <c r="G44" s="8">
        <v>15</v>
      </c>
      <c r="H44" s="3">
        <v>8</v>
      </c>
      <c r="I44" s="3">
        <v>40</v>
      </c>
      <c r="M44" s="6">
        <v>0</v>
      </c>
      <c r="N44" s="6">
        <v>0</v>
      </c>
      <c r="O44" s="9">
        <f>(17/40)*100</f>
        <v>42.5</v>
      </c>
      <c r="P44" s="6">
        <v>0</v>
      </c>
      <c r="Q44" s="6">
        <v>0</v>
      </c>
      <c r="R44" s="9">
        <f>(15/40)*100</f>
        <v>37.5</v>
      </c>
      <c r="S44" s="9">
        <f>(8/40)*100</f>
        <v>20</v>
      </c>
      <c r="T44" s="3">
        <v>40</v>
      </c>
      <c r="X44" t="s">
        <v>5</v>
      </c>
      <c r="Y44" s="3">
        <v>0</v>
      </c>
      <c r="Z44" s="3">
        <v>0</v>
      </c>
      <c r="AA44" s="8">
        <v>0</v>
      </c>
      <c r="AB44" s="3">
        <v>0</v>
      </c>
      <c r="AC44" s="3">
        <v>0</v>
      </c>
      <c r="AD44" s="8">
        <v>15</v>
      </c>
      <c r="AE44" s="3">
        <v>0</v>
      </c>
      <c r="AF44" s="25">
        <v>25</v>
      </c>
      <c r="AG44" s="3">
        <v>40</v>
      </c>
      <c r="AJ44" s="6">
        <v>0</v>
      </c>
      <c r="AK44" s="6">
        <v>0</v>
      </c>
      <c r="AL44" s="9">
        <v>0</v>
      </c>
      <c r="AM44" s="6">
        <v>0</v>
      </c>
      <c r="AN44" s="6">
        <v>0</v>
      </c>
      <c r="AO44" s="9">
        <f>(15/40)*100</f>
        <v>37.5</v>
      </c>
      <c r="AP44" s="6">
        <v>0</v>
      </c>
      <c r="AQ44" s="3">
        <v>40</v>
      </c>
      <c r="AU44">
        <f>25</f>
        <v>25</v>
      </c>
      <c r="AV44">
        <f t="shared" si="4"/>
        <v>62.5</v>
      </c>
    </row>
    <row r="45" spans="1:48" x14ac:dyDescent="0.3">
      <c r="A45" t="s">
        <v>6</v>
      </c>
      <c r="B45" s="3">
        <v>1</v>
      </c>
      <c r="C45" s="3">
        <v>1</v>
      </c>
      <c r="D45" s="8">
        <v>44</v>
      </c>
      <c r="E45" s="3">
        <v>0</v>
      </c>
      <c r="F45" s="3">
        <v>1</v>
      </c>
      <c r="G45" s="8">
        <v>33</v>
      </c>
      <c r="H45" s="3">
        <v>40</v>
      </c>
      <c r="I45" s="3">
        <v>120</v>
      </c>
      <c r="M45" s="6">
        <f>(1/120)*100</f>
        <v>0.83333333333333337</v>
      </c>
      <c r="N45" s="6">
        <f>(1/120)*100</f>
        <v>0.83333333333333337</v>
      </c>
      <c r="O45" s="9">
        <f>(44/120)*100</f>
        <v>36.666666666666664</v>
      </c>
      <c r="P45" s="6">
        <v>0</v>
      </c>
      <c r="Q45" s="6">
        <f>(1/120)*100</f>
        <v>0.83333333333333337</v>
      </c>
      <c r="R45" s="9">
        <f>(33/120)*100</f>
        <v>27.500000000000004</v>
      </c>
      <c r="S45" s="9">
        <f>(40/120)*100</f>
        <v>33.333333333333329</v>
      </c>
      <c r="T45" s="3">
        <v>120</v>
      </c>
      <c r="X45" t="s">
        <v>6</v>
      </c>
      <c r="Y45" s="3">
        <v>0</v>
      </c>
      <c r="Z45" s="3">
        <v>1</v>
      </c>
      <c r="AA45" s="8">
        <v>0</v>
      </c>
      <c r="AB45" s="3">
        <v>0</v>
      </c>
      <c r="AC45" s="3">
        <v>1</v>
      </c>
      <c r="AD45" s="8">
        <v>33</v>
      </c>
      <c r="AE45" s="3">
        <v>0</v>
      </c>
      <c r="AF45" s="25">
        <v>85</v>
      </c>
      <c r="AG45" s="3">
        <v>120</v>
      </c>
      <c r="AJ45" s="6">
        <v>0</v>
      </c>
      <c r="AK45" s="6">
        <f>(1/120)*100</f>
        <v>0.83333333333333337</v>
      </c>
      <c r="AL45" s="9">
        <v>0</v>
      </c>
      <c r="AM45" s="6">
        <v>0</v>
      </c>
      <c r="AN45" s="6">
        <f>(1/120)*100</f>
        <v>0.83333333333333337</v>
      </c>
      <c r="AO45" s="9">
        <f>(33/120)*100</f>
        <v>27.500000000000004</v>
      </c>
      <c r="AP45" s="6">
        <v>0</v>
      </c>
      <c r="AQ45" s="3">
        <v>120</v>
      </c>
      <c r="AU45" s="15">
        <f>85</f>
        <v>85</v>
      </c>
      <c r="AV45" s="15">
        <f>(AU45/120)*100</f>
        <v>70.833333333333343</v>
      </c>
    </row>
    <row r="47" spans="1:48" x14ac:dyDescent="0.3">
      <c r="A47" t="s">
        <v>15</v>
      </c>
    </row>
    <row r="48" spans="1:48" x14ac:dyDescent="0.3">
      <c r="A48" s="4" t="s">
        <v>16</v>
      </c>
    </row>
    <row r="49" spans="1:48" x14ac:dyDescent="0.3">
      <c r="A49" s="1" t="s">
        <v>2</v>
      </c>
      <c r="M49" s="10" t="s">
        <v>19</v>
      </c>
      <c r="X49" t="s">
        <v>65</v>
      </c>
      <c r="AJ49" s="34" t="s">
        <v>65</v>
      </c>
      <c r="AK49" s="34"/>
      <c r="AL49" s="34"/>
      <c r="AP49" t="s">
        <v>73</v>
      </c>
      <c r="AU49" t="s">
        <v>74</v>
      </c>
    </row>
    <row r="50" spans="1:48" x14ac:dyDescent="0.3">
      <c r="A50" s="1"/>
      <c r="B50" s="2" t="s">
        <v>29</v>
      </c>
      <c r="C50" s="2" t="s">
        <v>30</v>
      </c>
      <c r="D50" s="2">
        <v>9</v>
      </c>
      <c r="E50" s="2" t="s">
        <v>31</v>
      </c>
      <c r="F50" s="2" t="s">
        <v>32</v>
      </c>
      <c r="G50" s="2" t="s">
        <v>33</v>
      </c>
      <c r="H50" s="2">
        <v>13</v>
      </c>
      <c r="I50" s="2" t="s">
        <v>12</v>
      </c>
      <c r="M50" s="2" t="s">
        <v>29</v>
      </c>
      <c r="N50" s="2" t="s">
        <v>30</v>
      </c>
      <c r="O50" s="2">
        <v>9</v>
      </c>
      <c r="P50" s="2" t="s">
        <v>31</v>
      </c>
      <c r="Q50" s="2" t="s">
        <v>32</v>
      </c>
      <c r="R50" s="2" t="s">
        <v>33</v>
      </c>
      <c r="S50" s="2">
        <v>13</v>
      </c>
      <c r="T50" s="2" t="s">
        <v>17</v>
      </c>
      <c r="X50" s="1"/>
      <c r="Y50" s="2" t="s">
        <v>29</v>
      </c>
      <c r="Z50" s="2" t="s">
        <v>30</v>
      </c>
      <c r="AA50" s="2">
        <v>9</v>
      </c>
      <c r="AB50" s="2" t="s">
        <v>31</v>
      </c>
      <c r="AC50" s="2" t="s">
        <v>32</v>
      </c>
      <c r="AD50" s="2" t="s">
        <v>33</v>
      </c>
      <c r="AE50" s="2">
        <v>13</v>
      </c>
      <c r="AF50" s="27" t="s">
        <v>61</v>
      </c>
      <c r="AG50" s="2" t="s">
        <v>12</v>
      </c>
      <c r="AJ50" s="1"/>
      <c r="AK50" s="2">
        <v>12</v>
      </c>
      <c r="AL50" s="27" t="s">
        <v>61</v>
      </c>
      <c r="AM50" s="2" t="s">
        <v>12</v>
      </c>
      <c r="AP50" s="1"/>
      <c r="AQ50" s="2">
        <v>12</v>
      </c>
      <c r="AR50" s="27" t="s">
        <v>61</v>
      </c>
      <c r="AS50" s="2" t="s">
        <v>12</v>
      </c>
      <c r="AU50" s="27" t="s">
        <v>61</v>
      </c>
      <c r="AV50" s="2" t="s">
        <v>12</v>
      </c>
    </row>
    <row r="51" spans="1:48" x14ac:dyDescent="0.3">
      <c r="A51" t="s">
        <v>3</v>
      </c>
      <c r="B51" s="3">
        <v>0</v>
      </c>
      <c r="C51" s="3">
        <v>0</v>
      </c>
      <c r="D51" s="8">
        <v>28</v>
      </c>
      <c r="E51" s="3">
        <v>0</v>
      </c>
      <c r="F51" s="3">
        <v>0</v>
      </c>
      <c r="G51" s="8">
        <v>2</v>
      </c>
      <c r="H51" s="8">
        <v>50</v>
      </c>
      <c r="I51" s="3">
        <v>80</v>
      </c>
      <c r="M51" s="6">
        <v>0</v>
      </c>
      <c r="N51" s="6">
        <v>0</v>
      </c>
      <c r="O51" s="9">
        <f>(28/80)*100</f>
        <v>35</v>
      </c>
      <c r="P51" s="6">
        <v>0</v>
      </c>
      <c r="Q51" s="6">
        <v>0</v>
      </c>
      <c r="R51" s="9">
        <f>(2/80)*100</f>
        <v>2.5</v>
      </c>
      <c r="S51" s="9">
        <f>(50/80)*100</f>
        <v>62.5</v>
      </c>
      <c r="T51" s="3">
        <v>80</v>
      </c>
      <c r="X51" t="s">
        <v>3</v>
      </c>
      <c r="Y51" s="3">
        <v>0</v>
      </c>
      <c r="Z51" s="8">
        <v>0</v>
      </c>
      <c r="AA51" s="38">
        <v>0</v>
      </c>
      <c r="AB51" s="3">
        <v>0</v>
      </c>
      <c r="AC51" s="8">
        <v>0</v>
      </c>
      <c r="AD51" s="8">
        <v>2</v>
      </c>
      <c r="AE51" s="3">
        <v>0</v>
      </c>
      <c r="AF51" s="16">
        <v>78</v>
      </c>
      <c r="AG51" s="3">
        <v>80</v>
      </c>
      <c r="AJ51" t="s">
        <v>3</v>
      </c>
      <c r="AK51" s="8">
        <v>2</v>
      </c>
      <c r="AL51" s="16">
        <v>78</v>
      </c>
      <c r="AM51" s="3">
        <v>80</v>
      </c>
      <c r="AP51" t="s">
        <v>3</v>
      </c>
      <c r="AQ51" s="32">
        <f>(2/80)</f>
        <v>2.5000000000000001E-2</v>
      </c>
      <c r="AR51" s="33">
        <f>(78/80)</f>
        <v>0.97499999999999998</v>
      </c>
      <c r="AS51" s="3">
        <v>80</v>
      </c>
      <c r="AU51" s="33">
        <f>(78/80)</f>
        <v>0.97499999999999998</v>
      </c>
      <c r="AV51" s="3">
        <v>80</v>
      </c>
    </row>
    <row r="52" spans="1:48" x14ac:dyDescent="0.3">
      <c r="A52" s="12" t="s">
        <v>4</v>
      </c>
      <c r="B52" s="3">
        <v>2</v>
      </c>
      <c r="C52" s="3">
        <v>2</v>
      </c>
      <c r="D52" s="8">
        <v>26</v>
      </c>
      <c r="E52" s="3">
        <v>1</v>
      </c>
      <c r="F52" s="3">
        <v>1</v>
      </c>
      <c r="G52" s="8">
        <v>34</v>
      </c>
      <c r="H52" s="8">
        <v>14</v>
      </c>
      <c r="I52" s="3">
        <v>80</v>
      </c>
      <c r="M52" s="6">
        <f>(2/80)*100</f>
        <v>2.5</v>
      </c>
      <c r="N52" s="6">
        <f>(2/80)*100</f>
        <v>2.5</v>
      </c>
      <c r="O52" s="9">
        <f>(26/80)*100</f>
        <v>32.5</v>
      </c>
      <c r="P52" s="6">
        <f>(1/80)*100</f>
        <v>1.25</v>
      </c>
      <c r="Q52" s="6">
        <f>(1/80)*100</f>
        <v>1.25</v>
      </c>
      <c r="R52" s="9">
        <f>(34/80)*100</f>
        <v>42.5</v>
      </c>
      <c r="S52" s="9">
        <f>(14/80)*100</f>
        <v>17.5</v>
      </c>
      <c r="T52" s="3">
        <v>80</v>
      </c>
      <c r="X52" t="s">
        <v>4</v>
      </c>
      <c r="Y52" s="3">
        <v>0</v>
      </c>
      <c r="Z52" s="8">
        <v>2</v>
      </c>
      <c r="AA52" s="38">
        <v>0</v>
      </c>
      <c r="AB52" s="3">
        <v>0</v>
      </c>
      <c r="AC52" s="8">
        <v>1</v>
      </c>
      <c r="AD52" s="8">
        <v>34</v>
      </c>
      <c r="AE52" s="3">
        <v>0</v>
      </c>
      <c r="AF52" s="16">
        <v>43</v>
      </c>
      <c r="AG52" s="3">
        <v>80</v>
      </c>
      <c r="AJ52" t="s">
        <v>4</v>
      </c>
      <c r="AK52" s="8">
        <v>37</v>
      </c>
      <c r="AL52" s="16">
        <v>43</v>
      </c>
      <c r="AM52" s="3">
        <v>80</v>
      </c>
      <c r="AP52" t="s">
        <v>4</v>
      </c>
      <c r="AQ52" s="32">
        <f>(37/80)</f>
        <v>0.46250000000000002</v>
      </c>
      <c r="AR52" s="33">
        <f>(43/80)</f>
        <v>0.53749999999999998</v>
      </c>
      <c r="AS52" s="3">
        <v>80</v>
      </c>
      <c r="AU52" s="33">
        <f>(43/80)</f>
        <v>0.53749999999999998</v>
      </c>
      <c r="AV52" s="3">
        <v>80</v>
      </c>
    </row>
    <row r="53" spans="1:48" x14ac:dyDescent="0.3">
      <c r="A53" t="s">
        <v>5</v>
      </c>
      <c r="B53" s="3">
        <v>0</v>
      </c>
      <c r="C53" s="3">
        <v>0</v>
      </c>
      <c r="D53" s="8">
        <v>34</v>
      </c>
      <c r="E53" s="3">
        <v>0</v>
      </c>
      <c r="F53" s="3">
        <v>0</v>
      </c>
      <c r="G53" s="8">
        <v>30</v>
      </c>
      <c r="H53" s="8">
        <v>16</v>
      </c>
      <c r="I53" s="3">
        <v>80</v>
      </c>
      <c r="M53" s="6">
        <v>0</v>
      </c>
      <c r="N53" s="6">
        <v>0</v>
      </c>
      <c r="O53" s="9">
        <f>(34/80)*100</f>
        <v>42.5</v>
      </c>
      <c r="P53" s="6">
        <v>0</v>
      </c>
      <c r="Q53" s="6">
        <v>0</v>
      </c>
      <c r="R53" s="9">
        <f>(30/80)*100</f>
        <v>37.5</v>
      </c>
      <c r="S53" s="9">
        <f>(16/80)*100</f>
        <v>20</v>
      </c>
      <c r="T53" s="3">
        <v>80</v>
      </c>
      <c r="X53" t="s">
        <v>5</v>
      </c>
      <c r="Y53" s="3">
        <v>0</v>
      </c>
      <c r="Z53" s="8">
        <v>0</v>
      </c>
      <c r="AA53" s="38">
        <v>0</v>
      </c>
      <c r="AB53" s="3">
        <v>0</v>
      </c>
      <c r="AC53" s="8">
        <v>0</v>
      </c>
      <c r="AD53" s="8">
        <v>30</v>
      </c>
      <c r="AE53" s="3">
        <v>0</v>
      </c>
      <c r="AF53" s="16">
        <v>50</v>
      </c>
      <c r="AG53" s="3">
        <v>80</v>
      </c>
      <c r="AJ53" t="s">
        <v>5</v>
      </c>
      <c r="AK53" s="8">
        <v>30</v>
      </c>
      <c r="AL53" s="16">
        <v>50</v>
      </c>
      <c r="AM53" s="3">
        <v>80</v>
      </c>
      <c r="AP53" t="s">
        <v>5</v>
      </c>
      <c r="AQ53" s="32">
        <f>(30/80)</f>
        <v>0.375</v>
      </c>
      <c r="AR53" s="33">
        <f>(50/80)</f>
        <v>0.625</v>
      </c>
      <c r="AS53" s="3">
        <v>80</v>
      </c>
      <c r="AU53" s="33">
        <f>(50/80)</f>
        <v>0.625</v>
      </c>
      <c r="AV53" s="3">
        <v>80</v>
      </c>
    </row>
    <row r="54" spans="1:48" x14ac:dyDescent="0.3">
      <c r="A54" t="s">
        <v>6</v>
      </c>
      <c r="B54" s="3">
        <v>2</v>
      </c>
      <c r="C54" s="3">
        <v>2</v>
      </c>
      <c r="D54" s="8">
        <v>88</v>
      </c>
      <c r="E54" s="3">
        <v>1</v>
      </c>
      <c r="F54" s="3">
        <v>1</v>
      </c>
      <c r="G54" s="8">
        <v>66</v>
      </c>
      <c r="H54" s="8">
        <v>80</v>
      </c>
      <c r="I54" s="3">
        <v>240</v>
      </c>
      <c r="M54" s="6">
        <f>(2/240)*100</f>
        <v>0.83333333333333337</v>
      </c>
      <c r="N54" s="6">
        <f>(2/240)*100</f>
        <v>0.83333333333333337</v>
      </c>
      <c r="O54" s="9">
        <f>(88/240)*100</f>
        <v>36.666666666666664</v>
      </c>
      <c r="P54" s="6">
        <f>(1/240)*100</f>
        <v>0.41666666666666669</v>
      </c>
      <c r="Q54" s="6">
        <f>(1/240)*100</f>
        <v>0.41666666666666669</v>
      </c>
      <c r="R54" s="9">
        <f>(66/240)*100</f>
        <v>27.500000000000004</v>
      </c>
      <c r="S54" s="9">
        <f>(80/240)*100</f>
        <v>33.333333333333329</v>
      </c>
      <c r="T54" s="3">
        <v>240</v>
      </c>
      <c r="X54" t="s">
        <v>6</v>
      </c>
      <c r="Y54" s="3">
        <v>0</v>
      </c>
      <c r="Z54" s="8">
        <v>2</v>
      </c>
      <c r="AA54" s="38">
        <v>0</v>
      </c>
      <c r="AB54" s="3">
        <v>0</v>
      </c>
      <c r="AC54" s="8">
        <v>1</v>
      </c>
      <c r="AD54" s="8">
        <v>66</v>
      </c>
      <c r="AE54" s="3">
        <v>0</v>
      </c>
      <c r="AF54" s="16">
        <v>171</v>
      </c>
      <c r="AG54" s="3">
        <v>240</v>
      </c>
      <c r="AJ54" t="s">
        <v>6</v>
      </c>
      <c r="AK54" s="8">
        <v>69</v>
      </c>
      <c r="AL54" s="16">
        <v>171</v>
      </c>
      <c r="AM54" s="3">
        <v>240</v>
      </c>
      <c r="AP54" t="s">
        <v>6</v>
      </c>
      <c r="AQ54" s="32">
        <f>(69/240)</f>
        <v>0.28749999999999998</v>
      </c>
      <c r="AR54" s="33">
        <f>(171/240)</f>
        <v>0.71250000000000002</v>
      </c>
      <c r="AS54" s="3">
        <v>240</v>
      </c>
      <c r="AU54" s="33">
        <f>(171/240)</f>
        <v>0.71250000000000002</v>
      </c>
      <c r="AV54" s="3">
        <v>240</v>
      </c>
    </row>
    <row r="56" spans="1:48" x14ac:dyDescent="0.3">
      <c r="A56" s="5" t="s">
        <v>0</v>
      </c>
    </row>
    <row r="57" spans="1:48" x14ac:dyDescent="0.3">
      <c r="A57" s="4" t="s">
        <v>1</v>
      </c>
      <c r="M57" t="s">
        <v>28</v>
      </c>
    </row>
    <row r="58" spans="1:48" x14ac:dyDescent="0.3">
      <c r="A58" s="1" t="s">
        <v>2</v>
      </c>
      <c r="M58" s="17"/>
      <c r="N58" s="18" t="s">
        <v>23</v>
      </c>
      <c r="O58" s="18" t="s">
        <v>24</v>
      </c>
      <c r="P58" s="18" t="s">
        <v>25</v>
      </c>
      <c r="Q58" s="18" t="s">
        <v>26</v>
      </c>
      <c r="R58" s="18" t="s">
        <v>27</v>
      </c>
      <c r="S58" s="18" t="s">
        <v>6</v>
      </c>
    </row>
    <row r="59" spans="1:48" x14ac:dyDescent="0.3">
      <c r="A59" s="1"/>
      <c r="B59" s="18" t="s">
        <v>23</v>
      </c>
      <c r="C59" s="18" t="s">
        <v>24</v>
      </c>
      <c r="D59" s="18" t="s">
        <v>25</v>
      </c>
      <c r="E59" s="18" t="s">
        <v>26</v>
      </c>
      <c r="F59" s="18" t="s">
        <v>27</v>
      </c>
      <c r="G59" s="18" t="s">
        <v>6</v>
      </c>
      <c r="M59" s="16" t="s">
        <v>3</v>
      </c>
      <c r="N59" s="16">
        <f>(24/40)*100</f>
        <v>60</v>
      </c>
      <c r="O59" s="16">
        <f>(4/40)*100</f>
        <v>10</v>
      </c>
      <c r="P59" s="16">
        <f>(10/40)*100</f>
        <v>25</v>
      </c>
      <c r="Q59" s="16">
        <f>(2/40)*100</f>
        <v>5</v>
      </c>
      <c r="R59" s="16">
        <f>0</f>
        <v>0</v>
      </c>
      <c r="S59" s="16">
        <v>40</v>
      </c>
    </row>
    <row r="60" spans="1:48" x14ac:dyDescent="0.3">
      <c r="A60" t="s">
        <v>3</v>
      </c>
      <c r="B60" s="16">
        <f>24</f>
        <v>24</v>
      </c>
      <c r="C60" s="16">
        <f>4</f>
        <v>4</v>
      </c>
      <c r="D60" s="16">
        <f>10</f>
        <v>10</v>
      </c>
      <c r="E60" s="16">
        <f>2</f>
        <v>2</v>
      </c>
      <c r="F60" s="16">
        <f>0</f>
        <v>0</v>
      </c>
      <c r="G60" s="16">
        <v>40</v>
      </c>
      <c r="M60" s="16" t="s">
        <v>4</v>
      </c>
      <c r="N60" s="16">
        <f>(21/40)*100</f>
        <v>52.5</v>
      </c>
      <c r="O60" s="16">
        <f>(5/40)*100</f>
        <v>12.5</v>
      </c>
      <c r="P60" s="16">
        <f>(11/40)*100</f>
        <v>27.500000000000004</v>
      </c>
      <c r="Q60" s="16">
        <f>(3/40)*100</f>
        <v>7.5</v>
      </c>
      <c r="R60" s="16">
        <f>0</f>
        <v>0</v>
      </c>
      <c r="S60" s="16">
        <v>40</v>
      </c>
    </row>
    <row r="61" spans="1:48" x14ac:dyDescent="0.3">
      <c r="A61" t="s">
        <v>4</v>
      </c>
      <c r="B61" s="16">
        <f>21</f>
        <v>21</v>
      </c>
      <c r="C61" s="16">
        <f>5</f>
        <v>5</v>
      </c>
      <c r="D61" s="16">
        <f>11</f>
        <v>11</v>
      </c>
      <c r="E61" s="16">
        <f>3</f>
        <v>3</v>
      </c>
      <c r="F61" s="16">
        <f>0</f>
        <v>0</v>
      </c>
      <c r="G61" s="16">
        <v>40</v>
      </c>
      <c r="M61" s="16" t="s">
        <v>5</v>
      </c>
      <c r="N61" s="16">
        <f>(34/40)*100</f>
        <v>85</v>
      </c>
      <c r="O61" s="16">
        <f>(4/40)*100</f>
        <v>10</v>
      </c>
      <c r="P61" s="16">
        <f>(2/40)*100</f>
        <v>5</v>
      </c>
      <c r="Q61" s="16">
        <f>0</f>
        <v>0</v>
      </c>
      <c r="R61" s="16">
        <f>0</f>
        <v>0</v>
      </c>
      <c r="S61" s="16">
        <v>40</v>
      </c>
    </row>
    <row r="62" spans="1:48" x14ac:dyDescent="0.3">
      <c r="A62" t="s">
        <v>5</v>
      </c>
      <c r="B62" s="16">
        <f>34</f>
        <v>34</v>
      </c>
      <c r="C62" s="16">
        <f>4</f>
        <v>4</v>
      </c>
      <c r="D62" s="16">
        <f>2</f>
        <v>2</v>
      </c>
      <c r="E62" s="16">
        <f>0</f>
        <v>0</v>
      </c>
      <c r="F62" s="16">
        <f>0</f>
        <v>0</v>
      </c>
      <c r="G62" s="16">
        <v>40</v>
      </c>
      <c r="M62" s="16" t="s">
        <v>6</v>
      </c>
      <c r="N62" s="16">
        <f>(79/120)*100</f>
        <v>65.833333333333329</v>
      </c>
      <c r="O62" s="16">
        <f>(13/120)*100</f>
        <v>10.833333333333334</v>
      </c>
      <c r="P62" s="16">
        <f>(23/120)*100</f>
        <v>19.166666666666668</v>
      </c>
      <c r="Q62" s="16">
        <f>(5/120)*100</f>
        <v>4.1666666666666661</v>
      </c>
      <c r="R62" s="16">
        <f>0</f>
        <v>0</v>
      </c>
      <c r="S62" s="16">
        <v>120</v>
      </c>
    </row>
    <row r="63" spans="1:48" x14ac:dyDescent="0.3">
      <c r="A63" t="s">
        <v>6</v>
      </c>
      <c r="B63" s="16">
        <f>79</f>
        <v>79</v>
      </c>
      <c r="C63" s="16">
        <f>13</f>
        <v>13</v>
      </c>
      <c r="D63" s="16">
        <f>23</f>
        <v>23</v>
      </c>
      <c r="E63" s="16">
        <f>5</f>
        <v>5</v>
      </c>
      <c r="F63" s="16">
        <f>0</f>
        <v>0</v>
      </c>
      <c r="G63" s="16">
        <v>120</v>
      </c>
    </row>
    <row r="65" spans="1:19" x14ac:dyDescent="0.3">
      <c r="A65" t="s">
        <v>0</v>
      </c>
    </row>
    <row r="66" spans="1:19" x14ac:dyDescent="0.3">
      <c r="A66" s="4" t="s">
        <v>13</v>
      </c>
    </row>
    <row r="67" spans="1:19" x14ac:dyDescent="0.3">
      <c r="A67" s="1" t="s">
        <v>2</v>
      </c>
      <c r="M67" t="s">
        <v>28</v>
      </c>
    </row>
    <row r="68" spans="1:19" x14ac:dyDescent="0.3">
      <c r="A68" s="1"/>
      <c r="B68" s="18" t="s">
        <v>23</v>
      </c>
      <c r="C68" s="18" t="s">
        <v>24</v>
      </c>
      <c r="D68" s="18" t="s">
        <v>25</v>
      </c>
      <c r="E68" s="18" t="s">
        <v>26</v>
      </c>
      <c r="F68" s="18" t="s">
        <v>27</v>
      </c>
      <c r="G68" s="18" t="s">
        <v>6</v>
      </c>
      <c r="M68" s="17"/>
      <c r="N68" s="18" t="s">
        <v>23</v>
      </c>
      <c r="O68" s="18" t="s">
        <v>24</v>
      </c>
      <c r="P68" s="18" t="s">
        <v>25</v>
      </c>
      <c r="Q68" s="18" t="s">
        <v>26</v>
      </c>
      <c r="R68" s="18" t="s">
        <v>27</v>
      </c>
      <c r="S68" s="18" t="s">
        <v>6</v>
      </c>
    </row>
    <row r="69" spans="1:19" x14ac:dyDescent="0.3">
      <c r="A69" t="s">
        <v>3</v>
      </c>
      <c r="B69" s="16">
        <f>24</f>
        <v>24</v>
      </c>
      <c r="C69" s="16">
        <f>4</f>
        <v>4</v>
      </c>
      <c r="D69" s="16">
        <f>11</f>
        <v>11</v>
      </c>
      <c r="E69" s="16">
        <f>1</f>
        <v>1</v>
      </c>
      <c r="F69" s="16">
        <f>0</f>
        <v>0</v>
      </c>
      <c r="G69" s="16">
        <v>40</v>
      </c>
      <c r="M69" s="16" t="s">
        <v>3</v>
      </c>
      <c r="N69" s="16">
        <f>(24/40)*100</f>
        <v>60</v>
      </c>
      <c r="O69" s="16">
        <f>(4/40)*100</f>
        <v>10</v>
      </c>
      <c r="P69" s="16">
        <f>(11/40)*100</f>
        <v>27.500000000000004</v>
      </c>
      <c r="Q69" s="16">
        <f>(1/40)*100</f>
        <v>2.5</v>
      </c>
      <c r="R69" s="16">
        <f>0</f>
        <v>0</v>
      </c>
      <c r="S69" s="16">
        <v>40</v>
      </c>
    </row>
    <row r="70" spans="1:19" x14ac:dyDescent="0.3">
      <c r="A70" t="s">
        <v>4</v>
      </c>
      <c r="B70" s="16">
        <f>21</f>
        <v>21</v>
      </c>
      <c r="C70" s="16">
        <f>6</f>
        <v>6</v>
      </c>
      <c r="D70" s="16">
        <f>10</f>
        <v>10</v>
      </c>
      <c r="E70" s="16">
        <f>3</f>
        <v>3</v>
      </c>
      <c r="F70" s="16">
        <f>0</f>
        <v>0</v>
      </c>
      <c r="G70" s="16">
        <v>40</v>
      </c>
      <c r="M70" s="16" t="s">
        <v>4</v>
      </c>
      <c r="N70" s="16">
        <f>(21/40)*100</f>
        <v>52.5</v>
      </c>
      <c r="O70" s="16">
        <f>(6/40)*100</f>
        <v>15</v>
      </c>
      <c r="P70" s="16">
        <f>(10/40)*100</f>
        <v>25</v>
      </c>
      <c r="Q70" s="16">
        <f>(3/40)*100</f>
        <v>7.5</v>
      </c>
      <c r="R70" s="16">
        <f>0</f>
        <v>0</v>
      </c>
      <c r="S70" s="16">
        <v>40</v>
      </c>
    </row>
    <row r="71" spans="1:19" x14ac:dyDescent="0.3">
      <c r="A71" t="s">
        <v>5</v>
      </c>
      <c r="B71" s="16">
        <f>33</f>
        <v>33</v>
      </c>
      <c r="C71" s="16">
        <f>5</f>
        <v>5</v>
      </c>
      <c r="D71" s="16">
        <f>2</f>
        <v>2</v>
      </c>
      <c r="E71" s="16">
        <f>0</f>
        <v>0</v>
      </c>
      <c r="F71" s="16">
        <f>0</f>
        <v>0</v>
      </c>
      <c r="G71" s="16">
        <v>40</v>
      </c>
      <c r="M71" s="16" t="s">
        <v>5</v>
      </c>
      <c r="N71" s="16">
        <f>(33/40)*100</f>
        <v>82.5</v>
      </c>
      <c r="O71" s="16">
        <f>(5/40)*100</f>
        <v>12.5</v>
      </c>
      <c r="P71" s="16">
        <f>(2/40)*100</f>
        <v>5</v>
      </c>
      <c r="Q71" s="16">
        <f>0</f>
        <v>0</v>
      </c>
      <c r="R71" s="16">
        <f>0</f>
        <v>0</v>
      </c>
      <c r="S71" s="16">
        <v>40</v>
      </c>
    </row>
    <row r="72" spans="1:19" x14ac:dyDescent="0.3">
      <c r="A72" t="s">
        <v>6</v>
      </c>
      <c r="B72" s="16">
        <f>78</f>
        <v>78</v>
      </c>
      <c r="C72" s="16">
        <f>15</f>
        <v>15</v>
      </c>
      <c r="D72" s="16">
        <f>23</f>
        <v>23</v>
      </c>
      <c r="E72" s="16">
        <f>4</f>
        <v>4</v>
      </c>
      <c r="F72" s="16">
        <f>0</f>
        <v>0</v>
      </c>
      <c r="G72" s="16">
        <v>120</v>
      </c>
      <c r="M72" s="16" t="s">
        <v>6</v>
      </c>
      <c r="N72" s="16">
        <f>(78/120)*100</f>
        <v>65</v>
      </c>
      <c r="O72" s="16">
        <f>(15/120)*100</f>
        <v>12.5</v>
      </c>
      <c r="P72" s="16">
        <f>(23/120)*100</f>
        <v>19.166666666666668</v>
      </c>
      <c r="Q72" s="16">
        <f>(4/120)*100</f>
        <v>3.3333333333333335</v>
      </c>
      <c r="R72" s="16">
        <f>0</f>
        <v>0</v>
      </c>
      <c r="S72" s="16">
        <v>120</v>
      </c>
    </row>
    <row r="74" spans="1:19" x14ac:dyDescent="0.3">
      <c r="A74" t="s">
        <v>0</v>
      </c>
      <c r="M74" t="s">
        <v>0</v>
      </c>
    </row>
    <row r="75" spans="1:19" x14ac:dyDescent="0.3">
      <c r="A75" s="4" t="s">
        <v>66</v>
      </c>
      <c r="M75" s="4" t="s">
        <v>66</v>
      </c>
    </row>
    <row r="76" spans="1:19" x14ac:dyDescent="0.3">
      <c r="A76" s="1" t="s">
        <v>2</v>
      </c>
      <c r="M76" s="1" t="s">
        <v>2</v>
      </c>
      <c r="N76" s="34" t="s">
        <v>28</v>
      </c>
    </row>
    <row r="77" spans="1:19" x14ac:dyDescent="0.3">
      <c r="A77" s="1"/>
      <c r="B77" s="18" t="s">
        <v>23</v>
      </c>
      <c r="C77" s="18" t="s">
        <v>24</v>
      </c>
      <c r="D77" s="18" t="s">
        <v>25</v>
      </c>
      <c r="E77" s="18" t="s">
        <v>26</v>
      </c>
      <c r="F77" s="18" t="s">
        <v>27</v>
      </c>
      <c r="G77" s="18" t="s">
        <v>6</v>
      </c>
      <c r="M77" s="1"/>
      <c r="N77" s="18" t="s">
        <v>23</v>
      </c>
      <c r="O77" s="18" t="s">
        <v>24</v>
      </c>
      <c r="P77" s="18" t="s">
        <v>25</v>
      </c>
      <c r="Q77" s="18" t="s">
        <v>26</v>
      </c>
      <c r="R77" s="18" t="s">
        <v>27</v>
      </c>
      <c r="S77" s="18" t="s">
        <v>6</v>
      </c>
    </row>
    <row r="78" spans="1:19" x14ac:dyDescent="0.3">
      <c r="A78" t="s">
        <v>3</v>
      </c>
      <c r="B78" s="16">
        <v>48</v>
      </c>
      <c r="C78" s="16">
        <v>8</v>
      </c>
      <c r="D78" s="16">
        <v>21</v>
      </c>
      <c r="E78" s="16">
        <v>3</v>
      </c>
      <c r="F78" s="16">
        <f>0</f>
        <v>0</v>
      </c>
      <c r="G78" s="16">
        <v>80</v>
      </c>
      <c r="M78" t="s">
        <v>3</v>
      </c>
      <c r="N78" s="33">
        <f>(48/80)</f>
        <v>0.6</v>
      </c>
      <c r="O78" s="33">
        <f>(8/80)</f>
        <v>0.1</v>
      </c>
      <c r="P78" s="33">
        <f>(21/80)</f>
        <v>0.26250000000000001</v>
      </c>
      <c r="Q78" s="33">
        <f>(3/80)</f>
        <v>3.7499999999999999E-2</v>
      </c>
      <c r="R78" s="33">
        <f>0</f>
        <v>0</v>
      </c>
      <c r="S78" s="16">
        <v>80</v>
      </c>
    </row>
    <row r="79" spans="1:19" x14ac:dyDescent="0.3">
      <c r="A79" t="s">
        <v>4</v>
      </c>
      <c r="B79" s="16">
        <v>42</v>
      </c>
      <c r="C79" s="16">
        <v>11</v>
      </c>
      <c r="D79" s="16">
        <v>21</v>
      </c>
      <c r="E79" s="16">
        <v>6</v>
      </c>
      <c r="F79" s="16">
        <f>0</f>
        <v>0</v>
      </c>
      <c r="G79" s="16">
        <v>80</v>
      </c>
      <c r="M79" t="s">
        <v>4</v>
      </c>
      <c r="N79" s="33">
        <f>(42/80)</f>
        <v>0.52500000000000002</v>
      </c>
      <c r="O79" s="33">
        <f>(11/80)</f>
        <v>0.13750000000000001</v>
      </c>
      <c r="P79" s="33">
        <f>(21/80)</f>
        <v>0.26250000000000001</v>
      </c>
      <c r="Q79" s="33">
        <f>(6/80)</f>
        <v>7.4999999999999997E-2</v>
      </c>
      <c r="R79" s="33">
        <f>0</f>
        <v>0</v>
      </c>
      <c r="S79" s="16">
        <v>80</v>
      </c>
    </row>
    <row r="80" spans="1:19" x14ac:dyDescent="0.3">
      <c r="A80" t="s">
        <v>5</v>
      </c>
      <c r="B80" s="16">
        <v>67</v>
      </c>
      <c r="C80" s="16">
        <v>9</v>
      </c>
      <c r="D80" s="16">
        <v>4</v>
      </c>
      <c r="E80" s="16">
        <v>0</v>
      </c>
      <c r="F80" s="16">
        <f>0</f>
        <v>0</v>
      </c>
      <c r="G80" s="16">
        <v>80</v>
      </c>
      <c r="M80" t="s">
        <v>5</v>
      </c>
      <c r="N80" s="33">
        <f>(67/80)</f>
        <v>0.83750000000000002</v>
      </c>
      <c r="O80" s="33">
        <f>(9/80)</f>
        <v>0.1125</v>
      </c>
      <c r="P80" s="33">
        <f>(4/80)</f>
        <v>0.05</v>
      </c>
      <c r="Q80" s="33">
        <f>(0/80)</f>
        <v>0</v>
      </c>
      <c r="R80" s="33">
        <f>0</f>
        <v>0</v>
      </c>
      <c r="S80" s="16">
        <v>80</v>
      </c>
    </row>
    <row r="81" spans="1:19" x14ac:dyDescent="0.3">
      <c r="A81" t="s">
        <v>6</v>
      </c>
      <c r="B81" s="16">
        <v>157</v>
      </c>
      <c r="C81" s="16">
        <v>28</v>
      </c>
      <c r="D81" s="16">
        <v>46</v>
      </c>
      <c r="E81" s="16">
        <v>9</v>
      </c>
      <c r="F81" s="16">
        <f>0</f>
        <v>0</v>
      </c>
      <c r="G81" s="16">
        <v>240</v>
      </c>
      <c r="M81" t="s">
        <v>6</v>
      </c>
      <c r="N81" s="33">
        <f>(157/240)</f>
        <v>0.65416666666666667</v>
      </c>
      <c r="O81" s="33">
        <f>(28/240)</f>
        <v>0.11666666666666667</v>
      </c>
      <c r="P81" s="33">
        <f>(46/240)</f>
        <v>0.19166666666666668</v>
      </c>
      <c r="Q81" s="33">
        <f>(9/240)</f>
        <v>3.7499999999999999E-2</v>
      </c>
      <c r="R81" s="33">
        <f>0</f>
        <v>0</v>
      </c>
      <c r="S81" s="16">
        <v>240</v>
      </c>
    </row>
    <row r="84" spans="1:19" x14ac:dyDescent="0.3">
      <c r="A84" s="5" t="s">
        <v>15</v>
      </c>
    </row>
    <row r="85" spans="1:19" x14ac:dyDescent="0.3">
      <c r="A85" s="4" t="s">
        <v>1</v>
      </c>
    </row>
    <row r="86" spans="1:19" x14ac:dyDescent="0.3">
      <c r="A86" s="1" t="s">
        <v>2</v>
      </c>
      <c r="M86" t="s">
        <v>28</v>
      </c>
    </row>
    <row r="87" spans="1:19" x14ac:dyDescent="0.3">
      <c r="A87" s="1"/>
      <c r="B87" s="18" t="s">
        <v>23</v>
      </c>
      <c r="C87" s="18" t="s">
        <v>24</v>
      </c>
      <c r="D87" s="18" t="s">
        <v>25</v>
      </c>
      <c r="E87" s="18" t="s">
        <v>26</v>
      </c>
      <c r="F87" s="18" t="s">
        <v>27</v>
      </c>
      <c r="G87" s="18" t="s">
        <v>6</v>
      </c>
      <c r="M87" s="16"/>
      <c r="N87" s="18" t="s">
        <v>23</v>
      </c>
      <c r="O87" s="18" t="s">
        <v>24</v>
      </c>
      <c r="P87" s="18" t="s">
        <v>25</v>
      </c>
      <c r="Q87" s="18" t="s">
        <v>26</v>
      </c>
      <c r="R87" s="18" t="s">
        <v>27</v>
      </c>
      <c r="S87" s="18" t="s">
        <v>6</v>
      </c>
    </row>
    <row r="88" spans="1:19" x14ac:dyDescent="0.3">
      <c r="A88" t="s">
        <v>3</v>
      </c>
      <c r="B88" s="16">
        <f>39</f>
        <v>39</v>
      </c>
      <c r="C88" s="16">
        <f>0</f>
        <v>0</v>
      </c>
      <c r="D88" s="16">
        <f>1</f>
        <v>1</v>
      </c>
      <c r="E88" s="16">
        <f>0</f>
        <v>0</v>
      </c>
      <c r="F88" s="16">
        <f>0</f>
        <v>0</v>
      </c>
      <c r="G88" s="16">
        <f>40</f>
        <v>40</v>
      </c>
      <c r="M88" s="16" t="s">
        <v>3</v>
      </c>
      <c r="N88" s="16">
        <f>(39/40)*100</f>
        <v>97.5</v>
      </c>
      <c r="O88" s="16">
        <f>0</f>
        <v>0</v>
      </c>
      <c r="P88" s="16">
        <f>(1/40)*100</f>
        <v>2.5</v>
      </c>
      <c r="Q88" s="16">
        <f>0</f>
        <v>0</v>
      </c>
      <c r="R88" s="16">
        <f>0</f>
        <v>0</v>
      </c>
      <c r="S88" s="16">
        <f>40</f>
        <v>40</v>
      </c>
    </row>
    <row r="89" spans="1:19" x14ac:dyDescent="0.3">
      <c r="A89" t="s">
        <v>4</v>
      </c>
      <c r="B89" s="16">
        <f>22</f>
        <v>22</v>
      </c>
      <c r="C89" s="16">
        <f>11</f>
        <v>11</v>
      </c>
      <c r="D89" s="16">
        <f>7</f>
        <v>7</v>
      </c>
      <c r="E89" s="16">
        <f>0</f>
        <v>0</v>
      </c>
      <c r="F89" s="16">
        <f>0</f>
        <v>0</v>
      </c>
      <c r="G89" s="16">
        <f>40</f>
        <v>40</v>
      </c>
      <c r="M89" s="16" t="s">
        <v>4</v>
      </c>
      <c r="N89" s="16">
        <f>(22/40)*100</f>
        <v>55.000000000000007</v>
      </c>
      <c r="O89" s="16">
        <f>(11/40)*100</f>
        <v>27.500000000000004</v>
      </c>
      <c r="P89" s="16">
        <f>(7/40)*100</f>
        <v>17.5</v>
      </c>
      <c r="Q89" s="16">
        <f>0</f>
        <v>0</v>
      </c>
      <c r="R89" s="16">
        <f>0</f>
        <v>0</v>
      </c>
      <c r="S89" s="16">
        <f>40</f>
        <v>40</v>
      </c>
    </row>
    <row r="90" spans="1:19" x14ac:dyDescent="0.3">
      <c r="A90" t="s">
        <v>5</v>
      </c>
      <c r="B90" s="16">
        <f>25</f>
        <v>25</v>
      </c>
      <c r="C90" s="16">
        <f>13</f>
        <v>13</v>
      </c>
      <c r="D90" s="16">
        <f>2</f>
        <v>2</v>
      </c>
      <c r="E90" s="16">
        <f>0</f>
        <v>0</v>
      </c>
      <c r="F90" s="16">
        <f>0</f>
        <v>0</v>
      </c>
      <c r="G90" s="16">
        <f>40</f>
        <v>40</v>
      </c>
      <c r="M90" s="16" t="s">
        <v>5</v>
      </c>
      <c r="N90" s="16">
        <f>(25/40)*100</f>
        <v>62.5</v>
      </c>
      <c r="O90" s="16">
        <f>(13/40)*100</f>
        <v>32.5</v>
      </c>
      <c r="P90" s="16">
        <f>(2/40)*100</f>
        <v>5</v>
      </c>
      <c r="Q90" s="16">
        <f>0</f>
        <v>0</v>
      </c>
      <c r="R90" s="16">
        <f>0</f>
        <v>0</v>
      </c>
      <c r="S90" s="16">
        <f>40</f>
        <v>40</v>
      </c>
    </row>
    <row r="91" spans="1:19" x14ac:dyDescent="0.3">
      <c r="A91" t="s">
        <v>6</v>
      </c>
      <c r="B91" s="16">
        <f>86</f>
        <v>86</v>
      </c>
      <c r="C91" s="16">
        <f>24</f>
        <v>24</v>
      </c>
      <c r="D91" s="16">
        <f>10</f>
        <v>10</v>
      </c>
      <c r="E91" s="16">
        <f>0</f>
        <v>0</v>
      </c>
      <c r="F91" s="16">
        <f>0</f>
        <v>0</v>
      </c>
      <c r="G91" s="16">
        <f>120</f>
        <v>120</v>
      </c>
      <c r="M91" s="16" t="s">
        <v>6</v>
      </c>
      <c r="N91" s="16">
        <f>(86/120)*100</f>
        <v>71.666666666666671</v>
      </c>
      <c r="O91" s="16">
        <f>(24/120)*100</f>
        <v>20</v>
      </c>
      <c r="P91" s="16">
        <f>(10/120)*100</f>
        <v>8.3333333333333321</v>
      </c>
      <c r="Q91" s="16">
        <f>0</f>
        <v>0</v>
      </c>
      <c r="R91" s="16">
        <f>0</f>
        <v>0</v>
      </c>
      <c r="S91" s="16">
        <f>120</f>
        <v>120</v>
      </c>
    </row>
    <row r="93" spans="1:19" x14ac:dyDescent="0.3">
      <c r="A93" t="s">
        <v>15</v>
      </c>
    </row>
    <row r="94" spans="1:19" x14ac:dyDescent="0.3">
      <c r="A94" s="4" t="s">
        <v>13</v>
      </c>
    </row>
    <row r="95" spans="1:19" x14ac:dyDescent="0.3">
      <c r="A95" s="1" t="s">
        <v>2</v>
      </c>
      <c r="M95" t="s">
        <v>28</v>
      </c>
    </row>
    <row r="96" spans="1:19" x14ac:dyDescent="0.3">
      <c r="A96" s="1"/>
      <c r="B96" s="18" t="s">
        <v>23</v>
      </c>
      <c r="C96" s="18" t="s">
        <v>24</v>
      </c>
      <c r="D96" s="18" t="s">
        <v>25</v>
      </c>
      <c r="E96" s="18" t="s">
        <v>26</v>
      </c>
      <c r="F96" s="18" t="s">
        <v>27</v>
      </c>
      <c r="G96" s="18" t="s">
        <v>6</v>
      </c>
      <c r="M96" s="16"/>
      <c r="N96" s="18" t="s">
        <v>23</v>
      </c>
      <c r="O96" s="18" t="s">
        <v>24</v>
      </c>
      <c r="P96" s="18" t="s">
        <v>25</v>
      </c>
      <c r="Q96" s="18" t="s">
        <v>26</v>
      </c>
      <c r="R96" s="18" t="s">
        <v>27</v>
      </c>
      <c r="S96" s="18" t="s">
        <v>6</v>
      </c>
    </row>
    <row r="97" spans="1:19" x14ac:dyDescent="0.3">
      <c r="A97" t="s">
        <v>3</v>
      </c>
      <c r="B97" s="16">
        <f>39</f>
        <v>39</v>
      </c>
      <c r="C97" s="16">
        <f>0</f>
        <v>0</v>
      </c>
      <c r="D97" s="16">
        <f>1</f>
        <v>1</v>
      </c>
      <c r="E97" s="16">
        <f>0</f>
        <v>0</v>
      </c>
      <c r="F97" s="16">
        <f>0</f>
        <v>0</v>
      </c>
      <c r="G97" s="16">
        <f>40</f>
        <v>40</v>
      </c>
      <c r="M97" s="16" t="s">
        <v>3</v>
      </c>
      <c r="N97" s="16">
        <f>(39/40)*100</f>
        <v>97.5</v>
      </c>
      <c r="O97" s="16">
        <f>0</f>
        <v>0</v>
      </c>
      <c r="P97" s="16">
        <f>(1/40)*100</f>
        <v>2.5</v>
      </c>
      <c r="Q97" s="16">
        <f>0</f>
        <v>0</v>
      </c>
      <c r="R97" s="16">
        <f>0</f>
        <v>0</v>
      </c>
      <c r="S97" s="16">
        <f>40</f>
        <v>40</v>
      </c>
    </row>
    <row r="98" spans="1:19" x14ac:dyDescent="0.3">
      <c r="A98" t="s">
        <v>4</v>
      </c>
      <c r="B98" s="16">
        <f>21</f>
        <v>21</v>
      </c>
      <c r="C98" s="16">
        <f>9</f>
        <v>9</v>
      </c>
      <c r="D98" s="16">
        <f>10</f>
        <v>10</v>
      </c>
      <c r="E98" s="16">
        <f>0</f>
        <v>0</v>
      </c>
      <c r="F98" s="16">
        <f>0</f>
        <v>0</v>
      </c>
      <c r="G98" s="16">
        <f>40</f>
        <v>40</v>
      </c>
      <c r="M98" s="16" t="s">
        <v>4</v>
      </c>
      <c r="N98" s="16">
        <f>(21/40)*100</f>
        <v>52.5</v>
      </c>
      <c r="O98" s="16">
        <f>(9/40)*100</f>
        <v>22.5</v>
      </c>
      <c r="P98" s="16">
        <f>(10/40)*100</f>
        <v>25</v>
      </c>
      <c r="Q98" s="16">
        <f>0</f>
        <v>0</v>
      </c>
      <c r="R98" s="16">
        <f>0</f>
        <v>0</v>
      </c>
      <c r="S98" s="16">
        <f>40</f>
        <v>40</v>
      </c>
    </row>
    <row r="99" spans="1:19" x14ac:dyDescent="0.3">
      <c r="A99" t="s">
        <v>5</v>
      </c>
      <c r="B99" s="16">
        <f>25</f>
        <v>25</v>
      </c>
      <c r="C99" s="16">
        <f>12</f>
        <v>12</v>
      </c>
      <c r="D99" s="16">
        <f>3</f>
        <v>3</v>
      </c>
      <c r="E99" s="16">
        <f>0</f>
        <v>0</v>
      </c>
      <c r="F99" s="16">
        <f>0</f>
        <v>0</v>
      </c>
      <c r="G99" s="16">
        <f>40</f>
        <v>40</v>
      </c>
      <c r="M99" s="16" t="s">
        <v>5</v>
      </c>
      <c r="N99" s="16">
        <f>(25/40)*100</f>
        <v>62.5</v>
      </c>
      <c r="O99" s="16">
        <f>(12/40)*100</f>
        <v>30</v>
      </c>
      <c r="P99" s="16">
        <f>(3/40)*100</f>
        <v>7.5</v>
      </c>
      <c r="Q99" s="16">
        <f>0</f>
        <v>0</v>
      </c>
      <c r="R99" s="16">
        <f>0</f>
        <v>0</v>
      </c>
      <c r="S99" s="16">
        <f>40</f>
        <v>40</v>
      </c>
    </row>
    <row r="100" spans="1:19" x14ac:dyDescent="0.3">
      <c r="A100" t="s">
        <v>6</v>
      </c>
      <c r="B100" s="16">
        <f>85</f>
        <v>85</v>
      </c>
      <c r="C100" s="19">
        <f>21</f>
        <v>21</v>
      </c>
      <c r="D100" s="16">
        <f>14</f>
        <v>14</v>
      </c>
      <c r="E100" s="16">
        <f>0</f>
        <v>0</v>
      </c>
      <c r="F100" s="16">
        <f>0</f>
        <v>0</v>
      </c>
      <c r="G100" s="16">
        <f>120</f>
        <v>120</v>
      </c>
      <c r="M100" s="16" t="s">
        <v>6</v>
      </c>
      <c r="N100" s="16">
        <f>(85/120)*100</f>
        <v>70.833333333333343</v>
      </c>
      <c r="O100" s="19">
        <f>(21/120)*100</f>
        <v>17.5</v>
      </c>
      <c r="P100" s="16">
        <f>(14/120)*100</f>
        <v>11.666666666666666</v>
      </c>
      <c r="Q100" s="16">
        <f>0</f>
        <v>0</v>
      </c>
      <c r="R100" s="16">
        <f>0</f>
        <v>0</v>
      </c>
      <c r="S100" s="16">
        <f>120</f>
        <v>120</v>
      </c>
    </row>
    <row r="102" spans="1:19" x14ac:dyDescent="0.3">
      <c r="A102" s="4" t="s">
        <v>66</v>
      </c>
      <c r="M102" s="4" t="s">
        <v>66</v>
      </c>
    </row>
    <row r="103" spans="1:19" x14ac:dyDescent="0.3">
      <c r="A103" s="1" t="s">
        <v>2</v>
      </c>
      <c r="M103" s="1" t="s">
        <v>2</v>
      </c>
    </row>
    <row r="104" spans="1:19" x14ac:dyDescent="0.3">
      <c r="A104" s="1"/>
      <c r="B104" s="18" t="s">
        <v>23</v>
      </c>
      <c r="C104" s="18" t="s">
        <v>24</v>
      </c>
      <c r="D104" s="18" t="s">
        <v>25</v>
      </c>
      <c r="E104" s="18" t="s">
        <v>26</v>
      </c>
      <c r="F104" s="18" t="s">
        <v>27</v>
      </c>
      <c r="G104" s="18" t="s">
        <v>6</v>
      </c>
      <c r="M104" s="1"/>
      <c r="N104" s="18" t="s">
        <v>23</v>
      </c>
      <c r="O104" s="18" t="s">
        <v>24</v>
      </c>
      <c r="P104" s="18" t="s">
        <v>25</v>
      </c>
      <c r="Q104" s="18" t="s">
        <v>26</v>
      </c>
      <c r="R104" s="18" t="s">
        <v>27</v>
      </c>
      <c r="S104" s="18" t="s">
        <v>6</v>
      </c>
    </row>
    <row r="105" spans="1:19" x14ac:dyDescent="0.3">
      <c r="A105" t="s">
        <v>3</v>
      </c>
      <c r="B105" s="16">
        <v>78</v>
      </c>
      <c r="C105" s="16">
        <v>0</v>
      </c>
      <c r="D105" s="16">
        <v>2</v>
      </c>
      <c r="E105" s="16">
        <v>0</v>
      </c>
      <c r="F105" s="16">
        <v>0</v>
      </c>
      <c r="G105" s="16">
        <v>80</v>
      </c>
      <c r="M105" t="s">
        <v>3</v>
      </c>
      <c r="N105" s="33">
        <f>(78/80)</f>
        <v>0.97499999999999998</v>
      </c>
      <c r="O105" s="33">
        <v>0</v>
      </c>
      <c r="P105" s="33">
        <f>(2/80)</f>
        <v>2.5000000000000001E-2</v>
      </c>
      <c r="Q105" s="33">
        <v>0</v>
      </c>
      <c r="R105" s="33">
        <v>0</v>
      </c>
      <c r="S105" s="16">
        <v>80</v>
      </c>
    </row>
    <row r="106" spans="1:19" x14ac:dyDescent="0.3">
      <c r="A106" t="s">
        <v>4</v>
      </c>
      <c r="B106" s="16">
        <v>43</v>
      </c>
      <c r="C106" s="16">
        <v>20</v>
      </c>
      <c r="D106" s="16">
        <v>17</v>
      </c>
      <c r="E106" s="16">
        <f>0</f>
        <v>0</v>
      </c>
      <c r="F106" s="16">
        <f>0</f>
        <v>0</v>
      </c>
      <c r="G106" s="16">
        <v>80</v>
      </c>
      <c r="M106" t="s">
        <v>4</v>
      </c>
      <c r="N106" s="33">
        <f>(43/80)</f>
        <v>0.53749999999999998</v>
      </c>
      <c r="O106" s="33">
        <f>(20/80)</f>
        <v>0.25</v>
      </c>
      <c r="P106" s="33">
        <f>(17/80)</f>
        <v>0.21249999999999999</v>
      </c>
      <c r="Q106" s="33">
        <f>0</f>
        <v>0</v>
      </c>
      <c r="R106" s="33">
        <f>0</f>
        <v>0</v>
      </c>
      <c r="S106" s="16">
        <v>80</v>
      </c>
    </row>
    <row r="107" spans="1:19" x14ac:dyDescent="0.3">
      <c r="A107" t="s">
        <v>5</v>
      </c>
      <c r="B107" s="16">
        <v>50</v>
      </c>
      <c r="C107" s="16">
        <v>25</v>
      </c>
      <c r="D107" s="16">
        <v>5</v>
      </c>
      <c r="E107" s="16">
        <f>0</f>
        <v>0</v>
      </c>
      <c r="F107" s="16">
        <f>0</f>
        <v>0</v>
      </c>
      <c r="G107" s="16">
        <v>80</v>
      </c>
      <c r="M107" t="s">
        <v>5</v>
      </c>
      <c r="N107" s="33">
        <f>(50/80)</f>
        <v>0.625</v>
      </c>
      <c r="O107" s="33">
        <f>(25/80)</f>
        <v>0.3125</v>
      </c>
      <c r="P107" s="33">
        <f>(5/80)</f>
        <v>6.25E-2</v>
      </c>
      <c r="Q107" s="33">
        <f>0</f>
        <v>0</v>
      </c>
      <c r="R107" s="33">
        <f>0</f>
        <v>0</v>
      </c>
      <c r="S107" s="16">
        <v>80</v>
      </c>
    </row>
    <row r="108" spans="1:19" x14ac:dyDescent="0.3">
      <c r="A108" t="s">
        <v>6</v>
      </c>
      <c r="B108" s="16">
        <v>171</v>
      </c>
      <c r="C108" s="19">
        <v>45</v>
      </c>
      <c r="D108" s="16">
        <v>24</v>
      </c>
      <c r="E108" s="16">
        <f>0</f>
        <v>0</v>
      </c>
      <c r="F108" s="16">
        <f>0</f>
        <v>0</v>
      </c>
      <c r="G108" s="16">
        <v>240</v>
      </c>
      <c r="M108" t="s">
        <v>6</v>
      </c>
      <c r="N108" s="33">
        <f>(171/240)</f>
        <v>0.71250000000000002</v>
      </c>
      <c r="O108" s="35">
        <f>(45/240)</f>
        <v>0.1875</v>
      </c>
      <c r="P108" s="33">
        <f>(24/240)</f>
        <v>0.1</v>
      </c>
      <c r="Q108" s="33">
        <f>0</f>
        <v>0</v>
      </c>
      <c r="R108" s="33">
        <f>0</f>
        <v>0</v>
      </c>
      <c r="S108" s="16">
        <v>240</v>
      </c>
    </row>
    <row r="111" spans="1:19" x14ac:dyDescent="0.3">
      <c r="A111" t="s">
        <v>0</v>
      </c>
      <c r="B111" t="s">
        <v>82</v>
      </c>
    </row>
    <row r="112" spans="1:19" x14ac:dyDescent="0.3">
      <c r="A112" s="4" t="s">
        <v>14</v>
      </c>
      <c r="R112" t="s">
        <v>0</v>
      </c>
    </row>
    <row r="113" spans="1:21" x14ac:dyDescent="0.3">
      <c r="A113" s="1" t="s">
        <v>2</v>
      </c>
      <c r="M113" t="s">
        <v>83</v>
      </c>
      <c r="R113" t="s">
        <v>84</v>
      </c>
    </row>
    <row r="114" spans="1:21" x14ac:dyDescent="0.3">
      <c r="A114" s="1"/>
      <c r="B114" s="2">
        <v>1</v>
      </c>
      <c r="C114" s="2" t="s">
        <v>7</v>
      </c>
      <c r="D114" s="2" t="s">
        <v>8</v>
      </c>
      <c r="E114" s="2" t="s">
        <v>9</v>
      </c>
      <c r="F114" s="7">
        <v>2</v>
      </c>
      <c r="G114" s="2" t="s">
        <v>10</v>
      </c>
      <c r="H114" s="7" t="s">
        <v>11</v>
      </c>
      <c r="I114" s="2">
        <v>6</v>
      </c>
      <c r="J114" s="2">
        <v>13</v>
      </c>
      <c r="K114" s="2" t="s">
        <v>12</v>
      </c>
      <c r="M114" s="1"/>
      <c r="N114" s="2" t="s">
        <v>62</v>
      </c>
      <c r="O114" s="2">
        <v>13</v>
      </c>
      <c r="P114" s="2" t="s">
        <v>12</v>
      </c>
      <c r="R114" s="1"/>
      <c r="S114" s="2" t="s">
        <v>62</v>
      </c>
      <c r="T114" s="2">
        <v>13</v>
      </c>
      <c r="U114" s="2" t="s">
        <v>12</v>
      </c>
    </row>
    <row r="115" spans="1:21" x14ac:dyDescent="0.3">
      <c r="A115" t="s">
        <v>3</v>
      </c>
      <c r="B115" s="3">
        <v>0</v>
      </c>
      <c r="C115" s="3">
        <v>7</v>
      </c>
      <c r="D115" s="3">
        <v>2</v>
      </c>
      <c r="E115" s="3">
        <v>0</v>
      </c>
      <c r="F115" s="8">
        <v>28</v>
      </c>
      <c r="G115" s="3">
        <v>5</v>
      </c>
      <c r="H115" s="8">
        <v>32</v>
      </c>
      <c r="I115" s="3">
        <v>2</v>
      </c>
      <c r="J115" s="3">
        <v>4</v>
      </c>
      <c r="K115" s="3">
        <v>80</v>
      </c>
      <c r="M115" t="s">
        <v>3</v>
      </c>
      <c r="N115" s="3">
        <v>76</v>
      </c>
      <c r="O115" s="3">
        <v>4</v>
      </c>
      <c r="P115" s="3">
        <v>80</v>
      </c>
      <c r="R115" t="s">
        <v>3</v>
      </c>
      <c r="S115" s="40">
        <f>76/80</f>
        <v>0.95</v>
      </c>
      <c r="T115" s="40">
        <f>4/80</f>
        <v>0.05</v>
      </c>
      <c r="U115" s="3">
        <v>80</v>
      </c>
    </row>
    <row r="116" spans="1:21" x14ac:dyDescent="0.3">
      <c r="A116" t="s">
        <v>4</v>
      </c>
      <c r="B116" s="3">
        <v>5</v>
      </c>
      <c r="C116" s="3">
        <v>15</v>
      </c>
      <c r="D116" s="3">
        <v>0</v>
      </c>
      <c r="E116" s="3">
        <v>6</v>
      </c>
      <c r="F116" s="8">
        <v>22</v>
      </c>
      <c r="G116" s="3">
        <v>0</v>
      </c>
      <c r="H116" s="8">
        <v>32</v>
      </c>
      <c r="I116" s="3">
        <v>0</v>
      </c>
      <c r="J116" s="3">
        <v>0</v>
      </c>
      <c r="K116" s="3">
        <v>80</v>
      </c>
      <c r="M116" t="s">
        <v>4</v>
      </c>
      <c r="N116" s="3">
        <v>80</v>
      </c>
      <c r="O116" s="3">
        <v>0</v>
      </c>
      <c r="P116" s="3">
        <v>80</v>
      </c>
      <c r="R116" t="s">
        <v>4</v>
      </c>
      <c r="S116" s="40">
        <f>80/80</f>
        <v>1</v>
      </c>
      <c r="T116" s="40">
        <v>0</v>
      </c>
      <c r="U116" s="3">
        <v>80</v>
      </c>
    </row>
    <row r="117" spans="1:21" x14ac:dyDescent="0.3">
      <c r="A117" t="s">
        <v>5</v>
      </c>
      <c r="B117" s="3">
        <v>0</v>
      </c>
      <c r="C117" s="3">
        <v>17</v>
      </c>
      <c r="D117" s="3">
        <v>1</v>
      </c>
      <c r="E117" s="3">
        <v>2</v>
      </c>
      <c r="F117" s="8">
        <v>43</v>
      </c>
      <c r="G117" s="3">
        <v>6</v>
      </c>
      <c r="H117" s="8">
        <v>11</v>
      </c>
      <c r="I117" s="3">
        <v>0</v>
      </c>
      <c r="J117" s="3">
        <v>0</v>
      </c>
      <c r="K117" s="3">
        <v>80</v>
      </c>
      <c r="M117" t="s">
        <v>5</v>
      </c>
      <c r="N117" s="3">
        <v>80</v>
      </c>
      <c r="O117" s="3">
        <v>0</v>
      </c>
      <c r="P117" s="3">
        <v>80</v>
      </c>
      <c r="R117" t="s">
        <v>5</v>
      </c>
      <c r="S117" s="40">
        <f>80/80</f>
        <v>1</v>
      </c>
      <c r="T117" s="40">
        <v>0</v>
      </c>
      <c r="U117" s="3">
        <v>80</v>
      </c>
    </row>
    <row r="118" spans="1:21" x14ac:dyDescent="0.3">
      <c r="A118" t="s">
        <v>6</v>
      </c>
      <c r="B118" s="3">
        <v>5</v>
      </c>
      <c r="C118" s="3">
        <v>39</v>
      </c>
      <c r="D118" s="3">
        <v>3</v>
      </c>
      <c r="E118" s="3">
        <v>8</v>
      </c>
      <c r="F118" s="8">
        <v>93</v>
      </c>
      <c r="G118" s="3">
        <v>11</v>
      </c>
      <c r="H118" s="8">
        <v>75</v>
      </c>
      <c r="I118" s="3">
        <v>2</v>
      </c>
      <c r="J118" s="3">
        <v>4</v>
      </c>
      <c r="K118" s="3">
        <v>240</v>
      </c>
      <c r="M118" t="s">
        <v>6</v>
      </c>
      <c r="N118" s="3">
        <v>236</v>
      </c>
      <c r="O118" s="3">
        <v>4</v>
      </c>
      <c r="P118" s="3">
        <v>240</v>
      </c>
      <c r="R118" t="s">
        <v>6</v>
      </c>
      <c r="S118" s="40">
        <f>236/240</f>
        <v>0.98333333333333328</v>
      </c>
      <c r="T118" s="40">
        <f>4/240</f>
        <v>1.6666666666666666E-2</v>
      </c>
      <c r="U118" s="3">
        <v>240</v>
      </c>
    </row>
    <row r="122" spans="1:21" x14ac:dyDescent="0.3">
      <c r="A122" t="s">
        <v>15</v>
      </c>
    </row>
    <row r="123" spans="1:21" x14ac:dyDescent="0.3">
      <c r="A123" s="4" t="s">
        <v>16</v>
      </c>
      <c r="R123" t="s">
        <v>85</v>
      </c>
    </row>
    <row r="124" spans="1:21" x14ac:dyDescent="0.3">
      <c r="A124" s="1" t="s">
        <v>2</v>
      </c>
      <c r="M124" t="s">
        <v>83</v>
      </c>
      <c r="R124" t="s">
        <v>84</v>
      </c>
    </row>
    <row r="125" spans="1:21" x14ac:dyDescent="0.3">
      <c r="A125" s="1"/>
      <c r="B125" s="2" t="s">
        <v>29</v>
      </c>
      <c r="C125" s="2" t="s">
        <v>30</v>
      </c>
      <c r="D125" s="2">
        <v>9</v>
      </c>
      <c r="E125" s="2" t="s">
        <v>31</v>
      </c>
      <c r="F125" s="2" t="s">
        <v>32</v>
      </c>
      <c r="G125" s="2" t="s">
        <v>33</v>
      </c>
      <c r="H125" s="2">
        <v>13</v>
      </c>
      <c r="I125" s="2" t="s">
        <v>12</v>
      </c>
      <c r="M125" s="1"/>
      <c r="N125" s="2" t="s">
        <v>61</v>
      </c>
      <c r="O125" s="2">
        <v>13</v>
      </c>
      <c r="P125" s="2" t="s">
        <v>12</v>
      </c>
      <c r="R125" s="1"/>
      <c r="S125" s="2" t="s">
        <v>61</v>
      </c>
      <c r="T125" s="2">
        <v>13</v>
      </c>
      <c r="U125" s="2" t="s">
        <v>12</v>
      </c>
    </row>
    <row r="126" spans="1:21" x14ac:dyDescent="0.3">
      <c r="A126" t="s">
        <v>3</v>
      </c>
      <c r="B126" s="3">
        <v>0</v>
      </c>
      <c r="C126" s="3">
        <v>0</v>
      </c>
      <c r="D126" s="8">
        <v>28</v>
      </c>
      <c r="E126" s="3">
        <v>0</v>
      </c>
      <c r="F126" s="3">
        <v>0</v>
      </c>
      <c r="G126" s="8">
        <v>2</v>
      </c>
      <c r="H126" s="8">
        <v>50</v>
      </c>
      <c r="I126" s="3">
        <v>80</v>
      </c>
      <c r="M126" t="s">
        <v>3</v>
      </c>
      <c r="N126" s="3">
        <v>30</v>
      </c>
      <c r="O126" s="8">
        <v>50</v>
      </c>
      <c r="P126" s="3">
        <v>80</v>
      </c>
      <c r="R126" t="s">
        <v>3</v>
      </c>
      <c r="S126" s="40">
        <f>30/80</f>
        <v>0.375</v>
      </c>
      <c r="T126" s="41">
        <f>50/80</f>
        <v>0.625</v>
      </c>
      <c r="U126" s="3">
        <v>80</v>
      </c>
    </row>
    <row r="127" spans="1:21" x14ac:dyDescent="0.3">
      <c r="A127" s="12" t="s">
        <v>4</v>
      </c>
      <c r="B127" s="3">
        <v>2</v>
      </c>
      <c r="C127" s="3">
        <v>2</v>
      </c>
      <c r="D127" s="8">
        <v>26</v>
      </c>
      <c r="E127" s="3">
        <v>1</v>
      </c>
      <c r="F127" s="3">
        <v>1</v>
      </c>
      <c r="G127" s="8">
        <v>34</v>
      </c>
      <c r="H127" s="8">
        <v>14</v>
      </c>
      <c r="I127" s="3">
        <v>80</v>
      </c>
      <c r="M127" s="12" t="s">
        <v>4</v>
      </c>
      <c r="N127" s="3">
        <v>66</v>
      </c>
      <c r="O127" s="8">
        <v>14</v>
      </c>
      <c r="P127" s="3">
        <v>80</v>
      </c>
      <c r="R127" s="12" t="s">
        <v>4</v>
      </c>
      <c r="S127" s="40">
        <f>66/80</f>
        <v>0.82499999999999996</v>
      </c>
      <c r="T127" s="41">
        <f>14/80</f>
        <v>0.17499999999999999</v>
      </c>
      <c r="U127" s="3">
        <v>80</v>
      </c>
    </row>
    <row r="128" spans="1:21" x14ac:dyDescent="0.3">
      <c r="A128" t="s">
        <v>5</v>
      </c>
      <c r="B128" s="3">
        <v>0</v>
      </c>
      <c r="C128" s="3">
        <v>0</v>
      </c>
      <c r="D128" s="8">
        <v>34</v>
      </c>
      <c r="E128" s="3">
        <v>0</v>
      </c>
      <c r="F128" s="3">
        <v>0</v>
      </c>
      <c r="G128" s="8">
        <v>30</v>
      </c>
      <c r="H128" s="8">
        <v>16</v>
      </c>
      <c r="I128" s="3">
        <v>80</v>
      </c>
      <c r="M128" t="s">
        <v>5</v>
      </c>
      <c r="N128" s="3">
        <v>64</v>
      </c>
      <c r="O128" s="8">
        <v>16</v>
      </c>
      <c r="P128" s="3">
        <v>80</v>
      </c>
      <c r="R128" t="s">
        <v>5</v>
      </c>
      <c r="S128" s="40">
        <f>64/80</f>
        <v>0.8</v>
      </c>
      <c r="T128" s="41">
        <f>16/80</f>
        <v>0.2</v>
      </c>
      <c r="U128" s="3">
        <v>80</v>
      </c>
    </row>
    <row r="129" spans="1:21" x14ac:dyDescent="0.3">
      <c r="A129" t="s">
        <v>6</v>
      </c>
      <c r="B129" s="3">
        <v>2</v>
      </c>
      <c r="C129" s="3">
        <v>2</v>
      </c>
      <c r="D129" s="8">
        <v>88</v>
      </c>
      <c r="E129" s="3">
        <v>1</v>
      </c>
      <c r="F129" s="3">
        <v>1</v>
      </c>
      <c r="G129" s="8">
        <v>66</v>
      </c>
      <c r="H129" s="8">
        <v>80</v>
      </c>
      <c r="I129" s="3">
        <v>240</v>
      </c>
      <c r="M129" t="s">
        <v>6</v>
      </c>
      <c r="N129" s="3">
        <v>160</v>
      </c>
      <c r="O129" s="8">
        <v>80</v>
      </c>
      <c r="P129" s="3">
        <v>240</v>
      </c>
      <c r="R129" t="s">
        <v>6</v>
      </c>
      <c r="S129" s="40">
        <f>160/240</f>
        <v>0.66666666666666663</v>
      </c>
      <c r="T129" s="41">
        <f>80/240</f>
        <v>0.33333333333333331</v>
      </c>
      <c r="U129" s="3">
        <v>240</v>
      </c>
    </row>
    <row r="132" spans="1:21" x14ac:dyDescent="0.3">
      <c r="M132" t="s">
        <v>87</v>
      </c>
      <c r="R132" t="s">
        <v>86</v>
      </c>
    </row>
    <row r="133" spans="1:21" x14ac:dyDescent="0.3">
      <c r="M133" s="1"/>
      <c r="N133" s="2" t="s">
        <v>62</v>
      </c>
      <c r="O133" s="2">
        <v>13</v>
      </c>
      <c r="P133" s="2" t="s">
        <v>12</v>
      </c>
      <c r="R133" s="1"/>
      <c r="S133" s="2" t="s">
        <v>62</v>
      </c>
      <c r="T133" s="2">
        <v>13</v>
      </c>
      <c r="U133" s="2" t="s">
        <v>12</v>
      </c>
    </row>
    <row r="134" spans="1:21" x14ac:dyDescent="0.3">
      <c r="M134" t="s">
        <v>3</v>
      </c>
      <c r="N134" s="3">
        <v>106</v>
      </c>
      <c r="O134" s="3">
        <v>54</v>
      </c>
      <c r="P134" s="3">
        <v>160</v>
      </c>
      <c r="R134" t="s">
        <v>3</v>
      </c>
      <c r="S134" s="40">
        <f>106/160</f>
        <v>0.66249999999999998</v>
      </c>
      <c r="T134" s="40">
        <f>54/160</f>
        <v>0.33750000000000002</v>
      </c>
      <c r="U134" s="3">
        <v>160</v>
      </c>
    </row>
    <row r="135" spans="1:21" x14ac:dyDescent="0.3">
      <c r="M135" t="s">
        <v>4</v>
      </c>
      <c r="N135" s="3">
        <v>146</v>
      </c>
      <c r="O135" s="3">
        <v>14</v>
      </c>
      <c r="P135" s="3">
        <v>160</v>
      </c>
      <c r="R135" t="s">
        <v>4</v>
      </c>
      <c r="S135" s="40">
        <f>146/160</f>
        <v>0.91249999999999998</v>
      </c>
      <c r="T135" s="40">
        <f>14/160</f>
        <v>8.7499999999999994E-2</v>
      </c>
      <c r="U135" s="3">
        <v>160</v>
      </c>
    </row>
    <row r="136" spans="1:21" x14ac:dyDescent="0.3">
      <c r="M136" t="s">
        <v>5</v>
      </c>
      <c r="N136" s="3">
        <v>144</v>
      </c>
      <c r="O136" s="3">
        <v>16</v>
      </c>
      <c r="P136" s="3">
        <v>160</v>
      </c>
      <c r="R136" t="s">
        <v>5</v>
      </c>
      <c r="S136" s="40">
        <f>144/160</f>
        <v>0.9</v>
      </c>
      <c r="T136" s="40">
        <f>16/160</f>
        <v>0.1</v>
      </c>
      <c r="U136" s="3">
        <v>160</v>
      </c>
    </row>
    <row r="137" spans="1:21" x14ac:dyDescent="0.3">
      <c r="M137" t="s">
        <v>6</v>
      </c>
      <c r="N137" s="3">
        <v>396</v>
      </c>
      <c r="O137" s="3">
        <v>84</v>
      </c>
      <c r="P137" s="3">
        <v>480</v>
      </c>
      <c r="R137" t="s">
        <v>6</v>
      </c>
      <c r="S137" s="40">
        <f>396/480</f>
        <v>0.82499999999999996</v>
      </c>
      <c r="T137" s="40">
        <f>84/480</f>
        <v>0.17499999999999999</v>
      </c>
      <c r="U137" s="3">
        <v>480</v>
      </c>
    </row>
  </sheetData>
  <pageMargins left="0.7" right="0.7" top="0.75" bottom="0.75" header="0.3" footer="0.3"/>
  <pageSetup orientation="landscape" horizontalDpi="4294967295" verticalDpi="4294967295" r:id="rId1"/>
  <ignoredErrors>
    <ignoredError sqref="O34 O36 C61 O6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956E-8F1B-4797-965D-C9ED389B6719}">
  <dimension ref="A1:V69"/>
  <sheetViews>
    <sheetView topLeftCell="A30" workbookViewId="0">
      <selection activeCell="P88" sqref="P88"/>
    </sheetView>
  </sheetViews>
  <sheetFormatPr defaultRowHeight="14.4" x14ac:dyDescent="0.3"/>
  <cols>
    <col min="8" max="8" width="12.21875" customWidth="1"/>
  </cols>
  <sheetData>
    <row r="1" spans="1:22" x14ac:dyDescent="0.3">
      <c r="A1" t="s">
        <v>0</v>
      </c>
    </row>
    <row r="2" spans="1:22" x14ac:dyDescent="0.3">
      <c r="A2" s="4" t="s">
        <v>14</v>
      </c>
    </row>
    <row r="3" spans="1:22" x14ac:dyDescent="0.3">
      <c r="A3" s="1" t="s">
        <v>2</v>
      </c>
      <c r="M3" s="11" t="s">
        <v>19</v>
      </c>
    </row>
    <row r="4" spans="1:22" x14ac:dyDescent="0.3">
      <c r="A4" s="1"/>
      <c r="B4" s="2">
        <v>1</v>
      </c>
      <c r="C4" s="2" t="s">
        <v>7</v>
      </c>
      <c r="D4" s="2" t="s">
        <v>8</v>
      </c>
      <c r="E4" s="2" t="s">
        <v>9</v>
      </c>
      <c r="F4" s="7">
        <v>2</v>
      </c>
      <c r="G4" s="2" t="s">
        <v>10</v>
      </c>
      <c r="H4" s="7" t="s">
        <v>11</v>
      </c>
      <c r="I4" s="2">
        <v>6</v>
      </c>
      <c r="J4" s="2">
        <v>13</v>
      </c>
      <c r="K4" s="2" t="s">
        <v>12</v>
      </c>
      <c r="M4" s="2">
        <v>1</v>
      </c>
      <c r="N4" s="2" t="s">
        <v>7</v>
      </c>
      <c r="O4" s="2" t="s">
        <v>8</v>
      </c>
      <c r="P4" s="2" t="s">
        <v>9</v>
      </c>
      <c r="Q4" s="7">
        <v>2</v>
      </c>
      <c r="R4" s="2" t="s">
        <v>10</v>
      </c>
      <c r="S4" s="7" t="s">
        <v>11</v>
      </c>
      <c r="T4" s="2">
        <v>6</v>
      </c>
      <c r="U4" s="2">
        <v>13</v>
      </c>
      <c r="V4" s="2" t="s">
        <v>17</v>
      </c>
    </row>
    <row r="5" spans="1:22" x14ac:dyDescent="0.3">
      <c r="A5" t="s">
        <v>3</v>
      </c>
      <c r="B5" s="3">
        <v>0</v>
      </c>
      <c r="C5" s="3">
        <v>7</v>
      </c>
      <c r="D5" s="3">
        <v>2</v>
      </c>
      <c r="E5" s="3">
        <v>0</v>
      </c>
      <c r="F5" s="8">
        <v>28</v>
      </c>
      <c r="G5" s="3">
        <v>5</v>
      </c>
      <c r="H5" s="8">
        <v>32</v>
      </c>
      <c r="I5" s="3">
        <v>2</v>
      </c>
      <c r="J5" s="3">
        <v>4</v>
      </c>
      <c r="K5" s="3">
        <v>80</v>
      </c>
      <c r="M5" s="6">
        <v>0</v>
      </c>
      <c r="N5" s="6">
        <f>(7/80)*100</f>
        <v>8.75</v>
      </c>
      <c r="O5" s="6">
        <f>(2/80)*100</f>
        <v>2.5</v>
      </c>
      <c r="P5" s="6">
        <v>0</v>
      </c>
      <c r="Q5" s="9">
        <f>(28/80)*100</f>
        <v>35</v>
      </c>
      <c r="R5" s="6">
        <f>(5/80)*100</f>
        <v>6.25</v>
      </c>
      <c r="S5" s="9">
        <f>(32/80)*100</f>
        <v>40</v>
      </c>
      <c r="T5" s="6">
        <f>(2/80)*100</f>
        <v>2.5</v>
      </c>
      <c r="U5" s="6">
        <f>(4/80)*100</f>
        <v>5</v>
      </c>
      <c r="V5" s="3">
        <v>80</v>
      </c>
    </row>
    <row r="6" spans="1:22" x14ac:dyDescent="0.3">
      <c r="A6" t="s">
        <v>4</v>
      </c>
      <c r="B6" s="3">
        <v>5</v>
      </c>
      <c r="C6" s="3">
        <v>15</v>
      </c>
      <c r="D6" s="3">
        <v>0</v>
      </c>
      <c r="E6" s="3">
        <v>6</v>
      </c>
      <c r="F6" s="8">
        <v>22</v>
      </c>
      <c r="G6" s="3">
        <v>0</v>
      </c>
      <c r="H6" s="8">
        <v>32</v>
      </c>
      <c r="I6" s="3">
        <v>0</v>
      </c>
      <c r="J6" s="3">
        <v>0</v>
      </c>
      <c r="K6" s="3">
        <v>80</v>
      </c>
      <c r="M6" s="6">
        <f>(5/80)*100</f>
        <v>6.25</v>
      </c>
      <c r="N6" s="6">
        <f>(15/80)*100</f>
        <v>18.75</v>
      </c>
      <c r="O6" s="6">
        <v>0</v>
      </c>
      <c r="P6" s="6">
        <f>(6/80)*100</f>
        <v>7.5</v>
      </c>
      <c r="Q6" s="9">
        <f>(22/80)*100</f>
        <v>27.500000000000004</v>
      </c>
      <c r="R6" s="6">
        <v>0</v>
      </c>
      <c r="S6" s="9">
        <f>(32/80)*100</f>
        <v>40</v>
      </c>
      <c r="T6" s="6">
        <v>0</v>
      </c>
      <c r="U6" s="6">
        <v>0</v>
      </c>
      <c r="V6" s="3">
        <v>80</v>
      </c>
    </row>
    <row r="7" spans="1:22" x14ac:dyDescent="0.3">
      <c r="A7" t="s">
        <v>5</v>
      </c>
      <c r="B7" s="3">
        <v>0</v>
      </c>
      <c r="C7" s="3">
        <v>17</v>
      </c>
      <c r="D7" s="3">
        <v>1</v>
      </c>
      <c r="E7" s="3">
        <v>2</v>
      </c>
      <c r="F7" s="8">
        <v>43</v>
      </c>
      <c r="G7" s="3">
        <v>6</v>
      </c>
      <c r="H7" s="8">
        <v>11</v>
      </c>
      <c r="I7" s="3">
        <v>0</v>
      </c>
      <c r="J7" s="3">
        <v>0</v>
      </c>
      <c r="K7" s="3">
        <v>80</v>
      </c>
      <c r="M7" s="6">
        <v>0</v>
      </c>
      <c r="N7" s="6">
        <f>(17/80)*100</f>
        <v>21.25</v>
      </c>
      <c r="O7" s="6">
        <f>(1/80)*100</f>
        <v>1.25</v>
      </c>
      <c r="P7" s="6">
        <f>(2/80)*100</f>
        <v>2.5</v>
      </c>
      <c r="Q7" s="9">
        <f>(43/80)*100</f>
        <v>53.75</v>
      </c>
      <c r="R7" s="6">
        <f>(6/80)*100</f>
        <v>7.5</v>
      </c>
      <c r="S7" s="9">
        <f>(11/80)*100</f>
        <v>13.750000000000002</v>
      </c>
      <c r="T7" s="6">
        <v>0</v>
      </c>
      <c r="U7" s="6">
        <v>0</v>
      </c>
      <c r="V7" s="3">
        <v>80</v>
      </c>
    </row>
    <row r="8" spans="1:22" x14ac:dyDescent="0.3">
      <c r="A8" t="s">
        <v>6</v>
      </c>
      <c r="B8" s="3">
        <v>5</v>
      </c>
      <c r="C8" s="3">
        <v>39</v>
      </c>
      <c r="D8" s="3">
        <v>3</v>
      </c>
      <c r="E8" s="3">
        <v>8</v>
      </c>
      <c r="F8" s="8">
        <v>93</v>
      </c>
      <c r="G8" s="3">
        <v>11</v>
      </c>
      <c r="H8" s="8">
        <v>75</v>
      </c>
      <c r="I8" s="3">
        <v>2</v>
      </c>
      <c r="J8" s="3">
        <v>4</v>
      </c>
      <c r="K8" s="3">
        <v>240</v>
      </c>
      <c r="M8" s="6">
        <f>(5/240)*100</f>
        <v>2.083333333333333</v>
      </c>
      <c r="N8" s="6">
        <f>(39/240)*100</f>
        <v>16.25</v>
      </c>
      <c r="O8" s="6">
        <f>(3/240)*100</f>
        <v>1.25</v>
      </c>
      <c r="P8" s="6">
        <f>(8/240)*100</f>
        <v>3.3333333333333335</v>
      </c>
      <c r="Q8" s="9">
        <f>(93/240)*100</f>
        <v>38.75</v>
      </c>
      <c r="R8" s="6">
        <f>(11/240)*100</f>
        <v>4.583333333333333</v>
      </c>
      <c r="S8" s="9">
        <f>(75/240)*100</f>
        <v>31.25</v>
      </c>
      <c r="T8" s="6">
        <f>(2/240)*100</f>
        <v>0.83333333333333337</v>
      </c>
      <c r="U8" s="6">
        <f>(4/240)*100</f>
        <v>1.6666666666666667</v>
      </c>
      <c r="V8" s="3">
        <v>240</v>
      </c>
    </row>
    <row r="13" spans="1:22" x14ac:dyDescent="0.3">
      <c r="A13" s="11" t="s">
        <v>37</v>
      </c>
    </row>
    <row r="14" spans="1:22" x14ac:dyDescent="0.3">
      <c r="A14" t="s">
        <v>38</v>
      </c>
      <c r="D14" t="s">
        <v>38</v>
      </c>
      <c r="H14" t="s">
        <v>38</v>
      </c>
    </row>
    <row r="15" spans="1:22" x14ac:dyDescent="0.3">
      <c r="A15" s="20">
        <v>1</v>
      </c>
      <c r="B15">
        <v>0</v>
      </c>
      <c r="D15" s="20" t="s">
        <v>7</v>
      </c>
      <c r="E15">
        <v>7</v>
      </c>
      <c r="F15">
        <f>(E15/80)*100</f>
        <v>8.75</v>
      </c>
      <c r="H15" s="20" t="s">
        <v>41</v>
      </c>
      <c r="I15" s="21">
        <v>8.7499999999999994E-2</v>
      </c>
    </row>
    <row r="16" spans="1:22" x14ac:dyDescent="0.3">
      <c r="A16" s="20" t="s">
        <v>7</v>
      </c>
      <c r="B16">
        <v>7</v>
      </c>
      <c r="D16" s="20" t="s">
        <v>8</v>
      </c>
      <c r="E16">
        <v>2</v>
      </c>
      <c r="F16">
        <f t="shared" ref="F16:F21" si="0">(E16/80)*100</f>
        <v>2.5</v>
      </c>
      <c r="H16" s="20" t="s">
        <v>42</v>
      </c>
      <c r="I16" s="21">
        <v>2.5000000000000001E-2</v>
      </c>
    </row>
    <row r="17" spans="1:9" x14ac:dyDescent="0.3">
      <c r="A17" s="20" t="s">
        <v>8</v>
      </c>
      <c r="B17">
        <v>2</v>
      </c>
      <c r="D17" s="20">
        <v>2</v>
      </c>
      <c r="E17">
        <v>28</v>
      </c>
      <c r="F17">
        <f t="shared" si="0"/>
        <v>35</v>
      </c>
      <c r="H17" s="20" t="s">
        <v>43</v>
      </c>
      <c r="I17" s="22">
        <v>0.35</v>
      </c>
    </row>
    <row r="18" spans="1:9" x14ac:dyDescent="0.3">
      <c r="A18" s="20" t="s">
        <v>9</v>
      </c>
      <c r="B18">
        <v>0</v>
      </c>
      <c r="D18" s="20" t="s">
        <v>10</v>
      </c>
      <c r="E18">
        <v>5</v>
      </c>
      <c r="F18">
        <f t="shared" si="0"/>
        <v>6.25</v>
      </c>
      <c r="H18" s="20" t="s">
        <v>44</v>
      </c>
      <c r="I18" s="21">
        <v>6.25E-2</v>
      </c>
    </row>
    <row r="19" spans="1:9" x14ac:dyDescent="0.3">
      <c r="A19" s="20">
        <v>2</v>
      </c>
      <c r="B19">
        <v>28</v>
      </c>
      <c r="D19" s="20" t="s">
        <v>11</v>
      </c>
      <c r="E19">
        <v>32</v>
      </c>
      <c r="F19">
        <f t="shared" si="0"/>
        <v>40</v>
      </c>
      <c r="H19" s="20" t="s">
        <v>45</v>
      </c>
      <c r="I19" s="22">
        <v>0.4</v>
      </c>
    </row>
    <row r="20" spans="1:9" x14ac:dyDescent="0.3">
      <c r="A20" s="20" t="s">
        <v>10</v>
      </c>
      <c r="B20">
        <v>5</v>
      </c>
      <c r="D20" s="20">
        <v>6</v>
      </c>
      <c r="E20">
        <v>2</v>
      </c>
      <c r="F20">
        <f t="shared" si="0"/>
        <v>2.5</v>
      </c>
      <c r="H20" s="20" t="s">
        <v>46</v>
      </c>
      <c r="I20" s="21">
        <v>2.5000000000000001E-2</v>
      </c>
    </row>
    <row r="21" spans="1:9" x14ac:dyDescent="0.3">
      <c r="A21" s="20" t="s">
        <v>11</v>
      </c>
      <c r="B21">
        <v>32</v>
      </c>
      <c r="D21" s="20">
        <v>13</v>
      </c>
      <c r="E21">
        <v>4</v>
      </c>
      <c r="F21">
        <f t="shared" si="0"/>
        <v>5</v>
      </c>
      <c r="H21" s="20" t="s">
        <v>47</v>
      </c>
      <c r="I21" s="22">
        <v>0.05</v>
      </c>
    </row>
    <row r="22" spans="1:9" x14ac:dyDescent="0.3">
      <c r="A22" s="20">
        <v>6</v>
      </c>
      <c r="B22">
        <v>2</v>
      </c>
      <c r="D22" s="20" t="s">
        <v>39</v>
      </c>
      <c r="E22">
        <v>80</v>
      </c>
      <c r="H22" s="20" t="s">
        <v>39</v>
      </c>
      <c r="I22">
        <v>80</v>
      </c>
    </row>
    <row r="23" spans="1:9" x14ac:dyDescent="0.3">
      <c r="A23" s="20">
        <v>13</v>
      </c>
      <c r="B23">
        <v>4</v>
      </c>
    </row>
    <row r="24" spans="1:9" x14ac:dyDescent="0.3">
      <c r="A24" s="20" t="s">
        <v>39</v>
      </c>
      <c r="B24">
        <v>80</v>
      </c>
    </row>
    <row r="30" spans="1:9" x14ac:dyDescent="0.3">
      <c r="A30" t="s">
        <v>4</v>
      </c>
      <c r="D30" t="s">
        <v>4</v>
      </c>
    </row>
    <row r="31" spans="1:9" x14ac:dyDescent="0.3">
      <c r="A31" s="20">
        <v>1</v>
      </c>
      <c r="B31">
        <v>5</v>
      </c>
      <c r="D31" s="20">
        <v>1</v>
      </c>
      <c r="E31">
        <v>5</v>
      </c>
      <c r="F31">
        <f>(E31/80)*100</f>
        <v>6.25</v>
      </c>
      <c r="H31" s="20" t="s">
        <v>48</v>
      </c>
      <c r="I31" s="21">
        <v>6.25E-2</v>
      </c>
    </row>
    <row r="32" spans="1:9" x14ac:dyDescent="0.3">
      <c r="A32" s="20" t="s">
        <v>7</v>
      </c>
      <c r="B32">
        <v>15</v>
      </c>
      <c r="D32" s="20" t="s">
        <v>7</v>
      </c>
      <c r="E32">
        <v>15</v>
      </c>
      <c r="F32">
        <f t="shared" ref="F32:F35" si="1">(E32/80)*100</f>
        <v>18.75</v>
      </c>
      <c r="H32" s="20" t="s">
        <v>41</v>
      </c>
      <c r="I32" s="21">
        <v>0.1875</v>
      </c>
    </row>
    <row r="33" spans="1:9" x14ac:dyDescent="0.3">
      <c r="A33" s="20" t="s">
        <v>8</v>
      </c>
      <c r="B33">
        <v>0</v>
      </c>
      <c r="D33" s="20" t="s">
        <v>9</v>
      </c>
      <c r="E33">
        <v>6</v>
      </c>
      <c r="F33">
        <f t="shared" si="1"/>
        <v>7.5</v>
      </c>
      <c r="H33" s="20" t="s">
        <v>49</v>
      </c>
      <c r="I33" s="21">
        <v>7.4999999999999997E-2</v>
      </c>
    </row>
    <row r="34" spans="1:9" x14ac:dyDescent="0.3">
      <c r="A34" s="20" t="s">
        <v>9</v>
      </c>
      <c r="B34">
        <v>6</v>
      </c>
      <c r="D34" s="20">
        <v>2</v>
      </c>
      <c r="E34">
        <v>22</v>
      </c>
      <c r="F34">
        <f t="shared" si="1"/>
        <v>27.500000000000004</v>
      </c>
      <c r="H34" s="20" t="s">
        <v>43</v>
      </c>
      <c r="I34" s="21">
        <v>0.27500000000000002</v>
      </c>
    </row>
    <row r="35" spans="1:9" x14ac:dyDescent="0.3">
      <c r="A35" s="20">
        <v>2</v>
      </c>
      <c r="B35">
        <v>22</v>
      </c>
      <c r="D35" s="20" t="s">
        <v>11</v>
      </c>
      <c r="E35">
        <v>32</v>
      </c>
      <c r="F35">
        <f t="shared" si="1"/>
        <v>40</v>
      </c>
      <c r="H35" s="20" t="s">
        <v>45</v>
      </c>
      <c r="I35" s="22">
        <v>0.4</v>
      </c>
    </row>
    <row r="36" spans="1:9" x14ac:dyDescent="0.3">
      <c r="A36" s="20" t="s">
        <v>10</v>
      </c>
      <c r="B36">
        <v>0</v>
      </c>
      <c r="D36" s="20" t="s">
        <v>39</v>
      </c>
      <c r="E36">
        <v>80</v>
      </c>
      <c r="H36" s="20" t="s">
        <v>39</v>
      </c>
      <c r="I36">
        <v>80</v>
      </c>
    </row>
    <row r="37" spans="1:9" x14ac:dyDescent="0.3">
      <c r="A37" s="20" t="s">
        <v>11</v>
      </c>
      <c r="B37">
        <v>32</v>
      </c>
    </row>
    <row r="38" spans="1:9" x14ac:dyDescent="0.3">
      <c r="A38" s="20">
        <v>6</v>
      </c>
      <c r="B38">
        <v>0</v>
      </c>
    </row>
    <row r="39" spans="1:9" x14ac:dyDescent="0.3">
      <c r="A39" s="20">
        <v>13</v>
      </c>
      <c r="B39">
        <v>0</v>
      </c>
    </row>
    <row r="40" spans="1:9" x14ac:dyDescent="0.3">
      <c r="A40" s="20" t="s">
        <v>39</v>
      </c>
      <c r="B40">
        <v>80</v>
      </c>
    </row>
    <row r="48" spans="1:9" x14ac:dyDescent="0.3">
      <c r="A48" t="s">
        <v>5</v>
      </c>
      <c r="D48" t="s">
        <v>5</v>
      </c>
    </row>
    <row r="49" spans="1:9" x14ac:dyDescent="0.3">
      <c r="A49" s="20">
        <v>1</v>
      </c>
      <c r="B49">
        <v>0</v>
      </c>
      <c r="D49" s="20" t="s">
        <v>7</v>
      </c>
      <c r="E49">
        <v>17</v>
      </c>
      <c r="F49">
        <f>(E49/80)*100</f>
        <v>21.25</v>
      </c>
      <c r="H49" s="20" t="s">
        <v>41</v>
      </c>
      <c r="I49" s="21">
        <v>0.215</v>
      </c>
    </row>
    <row r="50" spans="1:9" x14ac:dyDescent="0.3">
      <c r="A50" s="20" t="s">
        <v>7</v>
      </c>
      <c r="B50">
        <v>17</v>
      </c>
      <c r="D50" s="20" t="s">
        <v>8</v>
      </c>
      <c r="E50">
        <v>1</v>
      </c>
      <c r="F50">
        <f t="shared" ref="F50:F54" si="2">(E50/80)*100</f>
        <v>1.25</v>
      </c>
      <c r="H50" s="20" t="s">
        <v>42</v>
      </c>
      <c r="I50" s="21">
        <v>1.2500000000000001E-2</v>
      </c>
    </row>
    <row r="51" spans="1:9" x14ac:dyDescent="0.3">
      <c r="A51" s="20" t="s">
        <v>8</v>
      </c>
      <c r="B51">
        <v>1</v>
      </c>
      <c r="D51" s="20" t="s">
        <v>9</v>
      </c>
      <c r="E51">
        <v>2</v>
      </c>
      <c r="F51">
        <f t="shared" si="2"/>
        <v>2.5</v>
      </c>
      <c r="H51" s="20" t="s">
        <v>49</v>
      </c>
      <c r="I51" s="21">
        <v>2.5000000000000001E-2</v>
      </c>
    </row>
    <row r="52" spans="1:9" x14ac:dyDescent="0.3">
      <c r="A52" s="20" t="s">
        <v>9</v>
      </c>
      <c r="B52">
        <v>2</v>
      </c>
      <c r="D52" s="20">
        <v>2</v>
      </c>
      <c r="E52">
        <v>43</v>
      </c>
      <c r="F52">
        <f t="shared" si="2"/>
        <v>53.75</v>
      </c>
      <c r="H52" s="20" t="s">
        <v>43</v>
      </c>
      <c r="I52" s="21">
        <v>0.53749999999999998</v>
      </c>
    </row>
    <row r="53" spans="1:9" x14ac:dyDescent="0.3">
      <c r="A53" s="20">
        <v>2</v>
      </c>
      <c r="B53">
        <v>43</v>
      </c>
      <c r="D53" s="20" t="s">
        <v>10</v>
      </c>
      <c r="E53">
        <v>6</v>
      </c>
      <c r="F53">
        <f t="shared" si="2"/>
        <v>7.5</v>
      </c>
      <c r="H53" s="20" t="s">
        <v>44</v>
      </c>
      <c r="I53" s="21">
        <v>7.4999999999999997E-2</v>
      </c>
    </row>
    <row r="54" spans="1:9" x14ac:dyDescent="0.3">
      <c r="A54" s="20" t="s">
        <v>10</v>
      </c>
      <c r="B54">
        <v>6</v>
      </c>
      <c r="D54" s="20" t="s">
        <v>11</v>
      </c>
      <c r="E54">
        <v>11</v>
      </c>
      <c r="F54">
        <f t="shared" si="2"/>
        <v>13.750000000000002</v>
      </c>
      <c r="H54" s="20" t="s">
        <v>45</v>
      </c>
      <c r="I54" s="21">
        <v>0.13750000000000001</v>
      </c>
    </row>
    <row r="55" spans="1:9" x14ac:dyDescent="0.3">
      <c r="A55" s="20" t="s">
        <v>11</v>
      </c>
      <c r="B55">
        <v>11</v>
      </c>
      <c r="D55" s="20" t="s">
        <v>39</v>
      </c>
      <c r="E55">
        <v>80</v>
      </c>
    </row>
    <row r="56" spans="1:9" x14ac:dyDescent="0.3">
      <c r="A56" s="20">
        <v>6</v>
      </c>
      <c r="B56">
        <v>0</v>
      </c>
    </row>
    <row r="57" spans="1:9" x14ac:dyDescent="0.3">
      <c r="A57" s="20">
        <v>13</v>
      </c>
      <c r="B57">
        <v>0</v>
      </c>
    </row>
    <row r="58" spans="1:9" x14ac:dyDescent="0.3">
      <c r="A58" s="20" t="s">
        <v>39</v>
      </c>
      <c r="B58">
        <v>80</v>
      </c>
    </row>
    <row r="60" spans="1:9" x14ac:dyDescent="0.3">
      <c r="A60" t="s">
        <v>40</v>
      </c>
    </row>
    <row r="61" spans="1:9" x14ac:dyDescent="0.3">
      <c r="A61" s="20">
        <v>1</v>
      </c>
      <c r="B61">
        <v>5</v>
      </c>
      <c r="C61" s="15">
        <f>(B61/240)*100</f>
        <v>2.083333333333333</v>
      </c>
      <c r="E61" s="20" t="s">
        <v>48</v>
      </c>
      <c r="F61" s="21">
        <v>2.0799999999999999E-2</v>
      </c>
    </row>
    <row r="62" spans="1:9" x14ac:dyDescent="0.3">
      <c r="A62" s="20" t="s">
        <v>7</v>
      </c>
      <c r="B62">
        <v>39</v>
      </c>
      <c r="C62" s="15">
        <f t="shared" ref="C62:C69" si="3">(B62/240)*100</f>
        <v>16.25</v>
      </c>
      <c r="E62" s="20" t="s">
        <v>41</v>
      </c>
      <c r="F62" s="21">
        <v>0.16250000000000001</v>
      </c>
    </row>
    <row r="63" spans="1:9" x14ac:dyDescent="0.3">
      <c r="A63" s="20" t="s">
        <v>8</v>
      </c>
      <c r="B63">
        <v>3</v>
      </c>
      <c r="C63" s="15">
        <f t="shared" si="3"/>
        <v>1.25</v>
      </c>
      <c r="E63" s="20" t="s">
        <v>42</v>
      </c>
      <c r="F63" s="21">
        <v>1.2500000000000001E-2</v>
      </c>
    </row>
    <row r="64" spans="1:9" x14ac:dyDescent="0.3">
      <c r="A64" s="20" t="s">
        <v>9</v>
      </c>
      <c r="B64">
        <v>8</v>
      </c>
      <c r="C64" s="15">
        <f t="shared" si="3"/>
        <v>3.3333333333333335</v>
      </c>
      <c r="E64" s="20" t="s">
        <v>49</v>
      </c>
      <c r="F64" s="21">
        <v>3.3300000000000003E-2</v>
      </c>
    </row>
    <row r="65" spans="1:6" x14ac:dyDescent="0.3">
      <c r="A65" s="20">
        <v>2</v>
      </c>
      <c r="B65">
        <v>93</v>
      </c>
      <c r="C65" s="15">
        <f t="shared" si="3"/>
        <v>38.75</v>
      </c>
      <c r="E65" s="20" t="s">
        <v>43</v>
      </c>
      <c r="F65" s="21">
        <v>0.38750000000000001</v>
      </c>
    </row>
    <row r="66" spans="1:6" x14ac:dyDescent="0.3">
      <c r="A66" s="20" t="s">
        <v>10</v>
      </c>
      <c r="B66">
        <v>11</v>
      </c>
      <c r="C66" s="15">
        <f t="shared" si="3"/>
        <v>4.583333333333333</v>
      </c>
      <c r="E66" s="20" t="s">
        <v>44</v>
      </c>
      <c r="F66" s="21">
        <v>4.58E-2</v>
      </c>
    </row>
    <row r="67" spans="1:6" x14ac:dyDescent="0.3">
      <c r="A67" s="20" t="s">
        <v>11</v>
      </c>
      <c r="B67">
        <v>75</v>
      </c>
      <c r="C67" s="15">
        <f t="shared" si="3"/>
        <v>31.25</v>
      </c>
      <c r="E67" s="20" t="s">
        <v>45</v>
      </c>
      <c r="F67" s="21">
        <v>0.3125</v>
      </c>
    </row>
    <row r="68" spans="1:6" x14ac:dyDescent="0.3">
      <c r="A68" s="20">
        <v>6</v>
      </c>
      <c r="B68">
        <v>2</v>
      </c>
      <c r="C68" s="15">
        <f t="shared" si="3"/>
        <v>0.83333333333333337</v>
      </c>
      <c r="E68" s="20" t="s">
        <v>46</v>
      </c>
      <c r="F68" s="21">
        <v>8.3000000000000001E-3</v>
      </c>
    </row>
    <row r="69" spans="1:6" x14ac:dyDescent="0.3">
      <c r="A69" s="20">
        <v>13</v>
      </c>
      <c r="B69">
        <v>4</v>
      </c>
      <c r="C69" s="15">
        <f t="shared" si="3"/>
        <v>1.6666666666666667</v>
      </c>
      <c r="E69" s="20" t="s">
        <v>47</v>
      </c>
      <c r="F69" s="21">
        <v>1.67E-2</v>
      </c>
    </row>
  </sheetData>
  <phoneticPr fontId="4" type="noConversion"/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0965-306B-4FF2-9A71-1016A3D066A6}">
  <dimension ref="A1:T69"/>
  <sheetViews>
    <sheetView topLeftCell="D10" workbookViewId="0">
      <selection activeCell="G82" sqref="G82"/>
    </sheetView>
  </sheetViews>
  <sheetFormatPr defaultRowHeight="14.4" x14ac:dyDescent="0.3"/>
  <cols>
    <col min="1" max="1" width="17.33203125" customWidth="1"/>
    <col min="6" max="6" width="12.6640625" customWidth="1"/>
  </cols>
  <sheetData>
    <row r="1" spans="1:20" x14ac:dyDescent="0.3">
      <c r="A1" t="s">
        <v>15</v>
      </c>
    </row>
    <row r="2" spans="1:20" x14ac:dyDescent="0.3">
      <c r="A2" s="4" t="s">
        <v>16</v>
      </c>
    </row>
    <row r="3" spans="1:20" x14ac:dyDescent="0.3">
      <c r="A3" s="1" t="s">
        <v>2</v>
      </c>
      <c r="M3" s="10" t="s">
        <v>19</v>
      </c>
    </row>
    <row r="4" spans="1:20" x14ac:dyDescent="0.3">
      <c r="A4" s="1"/>
      <c r="B4" s="2" t="s">
        <v>29</v>
      </c>
      <c r="C4" s="2" t="s">
        <v>30</v>
      </c>
      <c r="D4" s="2">
        <v>9</v>
      </c>
      <c r="E4" s="2" t="s">
        <v>31</v>
      </c>
      <c r="F4" s="2" t="s">
        <v>32</v>
      </c>
      <c r="G4" s="2" t="s">
        <v>33</v>
      </c>
      <c r="H4" s="2">
        <v>13</v>
      </c>
      <c r="I4" s="2" t="s">
        <v>12</v>
      </c>
      <c r="M4" s="2" t="s">
        <v>29</v>
      </c>
      <c r="N4" s="2" t="s">
        <v>30</v>
      </c>
      <c r="O4" s="2">
        <v>9</v>
      </c>
      <c r="P4" s="2" t="s">
        <v>31</v>
      </c>
      <c r="Q4" s="2" t="s">
        <v>32</v>
      </c>
      <c r="R4" s="2" t="s">
        <v>33</v>
      </c>
      <c r="S4" s="2">
        <v>13</v>
      </c>
      <c r="T4" s="2" t="s">
        <v>17</v>
      </c>
    </row>
    <row r="5" spans="1:20" x14ac:dyDescent="0.3">
      <c r="A5" t="s">
        <v>3</v>
      </c>
      <c r="B5" s="3">
        <v>0</v>
      </c>
      <c r="C5" s="3">
        <v>0</v>
      </c>
      <c r="D5" s="8">
        <v>28</v>
      </c>
      <c r="E5" s="3">
        <v>0</v>
      </c>
      <c r="F5" s="3">
        <v>0</v>
      </c>
      <c r="G5" s="8">
        <v>2</v>
      </c>
      <c r="H5" s="8">
        <v>50</v>
      </c>
      <c r="I5" s="3">
        <v>80</v>
      </c>
      <c r="M5" s="6">
        <v>0</v>
      </c>
      <c r="N5" s="6">
        <v>0</v>
      </c>
      <c r="O5" s="9">
        <f>(28/80)*100</f>
        <v>35</v>
      </c>
      <c r="P5" s="6">
        <v>0</v>
      </c>
      <c r="Q5" s="6">
        <v>0</v>
      </c>
      <c r="R5" s="9">
        <f>(2/80)*100</f>
        <v>2.5</v>
      </c>
      <c r="S5" s="9">
        <f>(50/80)*100</f>
        <v>62.5</v>
      </c>
      <c r="T5" s="3">
        <v>80</v>
      </c>
    </row>
    <row r="6" spans="1:20" x14ac:dyDescent="0.3">
      <c r="A6" s="12" t="s">
        <v>4</v>
      </c>
      <c r="B6" s="3">
        <v>2</v>
      </c>
      <c r="C6" s="3">
        <v>2</v>
      </c>
      <c r="D6" s="8">
        <v>26</v>
      </c>
      <c r="E6" s="3">
        <v>1</v>
      </c>
      <c r="F6" s="3">
        <v>1</v>
      </c>
      <c r="G6" s="8">
        <v>34</v>
      </c>
      <c r="H6" s="8">
        <v>14</v>
      </c>
      <c r="I6" s="3">
        <v>80</v>
      </c>
      <c r="M6" s="6">
        <f>(2/80)*100</f>
        <v>2.5</v>
      </c>
      <c r="N6" s="6">
        <f>(2/80)*100</f>
        <v>2.5</v>
      </c>
      <c r="O6" s="9">
        <f>(26/80)*100</f>
        <v>32.5</v>
      </c>
      <c r="P6" s="6">
        <f>(1/80)*100</f>
        <v>1.25</v>
      </c>
      <c r="Q6" s="6">
        <f>(1/80)*100</f>
        <v>1.25</v>
      </c>
      <c r="R6" s="9">
        <f>(34/80)*100</f>
        <v>42.5</v>
      </c>
      <c r="S6" s="9">
        <f>(14/80)*100</f>
        <v>17.5</v>
      </c>
      <c r="T6" s="3">
        <v>80</v>
      </c>
    </row>
    <row r="7" spans="1:20" x14ac:dyDescent="0.3">
      <c r="A7" t="s">
        <v>5</v>
      </c>
      <c r="B7" s="3">
        <v>0</v>
      </c>
      <c r="C7" s="3">
        <v>0</v>
      </c>
      <c r="D7" s="8">
        <v>34</v>
      </c>
      <c r="E7" s="3">
        <v>0</v>
      </c>
      <c r="F7" s="3">
        <v>0</v>
      </c>
      <c r="G7" s="8">
        <v>30</v>
      </c>
      <c r="H7" s="8">
        <v>16</v>
      </c>
      <c r="I7" s="3">
        <v>80</v>
      </c>
      <c r="M7" s="6">
        <v>0</v>
      </c>
      <c r="N7" s="6">
        <v>0</v>
      </c>
      <c r="O7" s="9">
        <f>(34/80)*100</f>
        <v>42.5</v>
      </c>
      <c r="P7" s="6">
        <v>0</v>
      </c>
      <c r="Q7" s="6">
        <v>0</v>
      </c>
      <c r="R7" s="9">
        <f>(30/80)*100</f>
        <v>37.5</v>
      </c>
      <c r="S7" s="9">
        <f>(16/80)*100</f>
        <v>20</v>
      </c>
      <c r="T7" s="3">
        <v>80</v>
      </c>
    </row>
    <row r="8" spans="1:20" x14ac:dyDescent="0.3">
      <c r="A8" t="s">
        <v>6</v>
      </c>
      <c r="B8" s="3">
        <v>2</v>
      </c>
      <c r="C8" s="3">
        <v>2</v>
      </c>
      <c r="D8" s="8">
        <v>88</v>
      </c>
      <c r="E8" s="3">
        <v>1</v>
      </c>
      <c r="F8" s="3">
        <v>1</v>
      </c>
      <c r="G8" s="8">
        <v>66</v>
      </c>
      <c r="H8" s="8">
        <v>80</v>
      </c>
      <c r="I8" s="3">
        <v>240</v>
      </c>
      <c r="M8" s="6">
        <f>(2/240)*100</f>
        <v>0.83333333333333337</v>
      </c>
      <c r="N8" s="6">
        <f>(2/240)*100</f>
        <v>0.83333333333333337</v>
      </c>
      <c r="O8" s="9">
        <f>(88/240)*100</f>
        <v>36.666666666666664</v>
      </c>
      <c r="P8" s="6">
        <f>(1/240)*100</f>
        <v>0.41666666666666669</v>
      </c>
      <c r="Q8" s="6">
        <f>(1/240)*100</f>
        <v>0.41666666666666669</v>
      </c>
      <c r="R8" s="9">
        <f>(66/240)*100</f>
        <v>27.500000000000004</v>
      </c>
      <c r="S8" s="9">
        <f>(80/240)*100</f>
        <v>33.333333333333329</v>
      </c>
      <c r="T8" s="3">
        <v>240</v>
      </c>
    </row>
    <row r="10" spans="1:20" x14ac:dyDescent="0.3">
      <c r="A10" t="s">
        <v>38</v>
      </c>
    </row>
    <row r="11" spans="1:20" x14ac:dyDescent="0.3">
      <c r="A11" s="20" t="s">
        <v>53</v>
      </c>
      <c r="B11" s="23">
        <v>28</v>
      </c>
      <c r="C11">
        <f>(B11/80)*100</f>
        <v>35</v>
      </c>
      <c r="E11" s="20" t="s">
        <v>53</v>
      </c>
      <c r="F11" s="22">
        <v>0.35</v>
      </c>
    </row>
    <row r="12" spans="1:20" x14ac:dyDescent="0.3">
      <c r="A12" s="20" t="s">
        <v>56</v>
      </c>
      <c r="B12" s="23">
        <v>2</v>
      </c>
      <c r="C12">
        <f t="shared" ref="C12:C13" si="0">(B12/80)*100</f>
        <v>2.5</v>
      </c>
      <c r="E12" s="20" t="s">
        <v>56</v>
      </c>
      <c r="F12" s="21">
        <v>2.5000000000000001E-2</v>
      </c>
    </row>
    <row r="13" spans="1:20" x14ac:dyDescent="0.3">
      <c r="A13" s="20" t="s">
        <v>47</v>
      </c>
      <c r="B13" s="23">
        <v>50</v>
      </c>
      <c r="C13">
        <f t="shared" si="0"/>
        <v>62.5</v>
      </c>
      <c r="E13" s="20" t="s">
        <v>47</v>
      </c>
      <c r="F13" s="21">
        <v>0.625</v>
      </c>
    </row>
    <row r="14" spans="1:20" x14ac:dyDescent="0.3">
      <c r="A14" s="20" t="s">
        <v>39</v>
      </c>
      <c r="B14" s="23">
        <v>80</v>
      </c>
      <c r="E14" s="20"/>
    </row>
    <row r="26" spans="1:6" x14ac:dyDescent="0.3">
      <c r="A26" t="s">
        <v>4</v>
      </c>
    </row>
    <row r="27" spans="1:6" x14ac:dyDescent="0.3">
      <c r="A27" s="20" t="s">
        <v>51</v>
      </c>
      <c r="B27" s="23">
        <v>2</v>
      </c>
      <c r="C27">
        <f>(B27/80)*100</f>
        <v>2.5</v>
      </c>
      <c r="E27" s="20" t="s">
        <v>51</v>
      </c>
      <c r="F27" s="21">
        <v>2.5000000000000001E-2</v>
      </c>
    </row>
    <row r="28" spans="1:6" x14ac:dyDescent="0.3">
      <c r="A28" s="20" t="s">
        <v>52</v>
      </c>
      <c r="B28" s="23">
        <v>2</v>
      </c>
      <c r="C28">
        <f t="shared" ref="C28:C33" si="1">(B28/80)*100</f>
        <v>2.5</v>
      </c>
      <c r="E28" s="20" t="s">
        <v>52</v>
      </c>
      <c r="F28" s="21">
        <v>2.5000000000000001E-2</v>
      </c>
    </row>
    <row r="29" spans="1:6" x14ac:dyDescent="0.3">
      <c r="A29" s="20" t="s">
        <v>53</v>
      </c>
      <c r="B29" s="23">
        <v>26</v>
      </c>
      <c r="C29">
        <f t="shared" si="1"/>
        <v>32.5</v>
      </c>
      <c r="E29" s="20" t="s">
        <v>53</v>
      </c>
      <c r="F29" s="21">
        <v>0.32500000000000001</v>
      </c>
    </row>
    <row r="30" spans="1:6" x14ac:dyDescent="0.3">
      <c r="A30" s="20" t="s">
        <v>54</v>
      </c>
      <c r="B30" s="23">
        <v>1</v>
      </c>
      <c r="C30">
        <f t="shared" si="1"/>
        <v>1.25</v>
      </c>
      <c r="E30" s="20" t="s">
        <v>54</v>
      </c>
      <c r="F30" s="21">
        <v>1.2500000000000001E-2</v>
      </c>
    </row>
    <row r="31" spans="1:6" x14ac:dyDescent="0.3">
      <c r="A31" s="20" t="s">
        <v>55</v>
      </c>
      <c r="B31" s="23">
        <v>1</v>
      </c>
      <c r="C31">
        <f t="shared" si="1"/>
        <v>1.25</v>
      </c>
      <c r="E31" s="20" t="s">
        <v>55</v>
      </c>
      <c r="F31" s="21">
        <v>1.2500000000000001E-2</v>
      </c>
    </row>
    <row r="32" spans="1:6" x14ac:dyDescent="0.3">
      <c r="A32" s="20" t="s">
        <v>56</v>
      </c>
      <c r="B32" s="23">
        <v>34</v>
      </c>
      <c r="C32">
        <f t="shared" si="1"/>
        <v>42.5</v>
      </c>
      <c r="E32" s="20" t="s">
        <v>56</v>
      </c>
      <c r="F32" s="21">
        <v>0.42499999999999999</v>
      </c>
    </row>
    <row r="33" spans="1:6" x14ac:dyDescent="0.3">
      <c r="A33" s="20" t="s">
        <v>47</v>
      </c>
      <c r="B33" s="23">
        <v>14</v>
      </c>
      <c r="C33">
        <f t="shared" si="1"/>
        <v>17.5</v>
      </c>
      <c r="E33" s="20" t="s">
        <v>47</v>
      </c>
      <c r="F33" s="21">
        <v>0.17499999999999999</v>
      </c>
    </row>
    <row r="34" spans="1:6" x14ac:dyDescent="0.3">
      <c r="A34" s="20" t="s">
        <v>39</v>
      </c>
      <c r="B34" s="23">
        <v>80</v>
      </c>
      <c r="E34" s="20"/>
    </row>
    <row r="44" spans="1:6" x14ac:dyDescent="0.3">
      <c r="A44" t="s">
        <v>5</v>
      </c>
    </row>
    <row r="45" spans="1:6" x14ac:dyDescent="0.3">
      <c r="A45" s="20" t="s">
        <v>53</v>
      </c>
      <c r="B45">
        <v>34</v>
      </c>
      <c r="C45">
        <f>(B45/80)*100</f>
        <v>42.5</v>
      </c>
      <c r="E45" s="20" t="s">
        <v>53</v>
      </c>
      <c r="F45" s="21">
        <v>0.42499999999999999</v>
      </c>
    </row>
    <row r="46" spans="1:6" x14ac:dyDescent="0.3">
      <c r="A46" s="20" t="s">
        <v>56</v>
      </c>
      <c r="B46">
        <v>30</v>
      </c>
      <c r="C46">
        <f t="shared" ref="C46:C47" si="2">(B46/80)*100</f>
        <v>37.5</v>
      </c>
      <c r="E46" s="20" t="s">
        <v>56</v>
      </c>
      <c r="F46" s="21">
        <v>0.375</v>
      </c>
    </row>
    <row r="47" spans="1:6" x14ac:dyDescent="0.3">
      <c r="A47" s="20" t="s">
        <v>47</v>
      </c>
      <c r="B47">
        <v>16</v>
      </c>
      <c r="C47">
        <f t="shared" si="2"/>
        <v>20</v>
      </c>
      <c r="E47" s="20" t="s">
        <v>47</v>
      </c>
      <c r="F47" s="22">
        <v>0.2</v>
      </c>
    </row>
    <row r="48" spans="1:6" x14ac:dyDescent="0.3">
      <c r="A48" s="20" t="s">
        <v>6</v>
      </c>
      <c r="B48">
        <v>80</v>
      </c>
      <c r="E48" s="20" t="s">
        <v>6</v>
      </c>
    </row>
    <row r="61" spans="1:6" x14ac:dyDescent="0.3">
      <c r="A61" t="s">
        <v>50</v>
      </c>
    </row>
    <row r="62" spans="1:6" x14ac:dyDescent="0.3">
      <c r="A62" s="20" t="s">
        <v>51</v>
      </c>
      <c r="B62">
        <v>2</v>
      </c>
      <c r="C62">
        <f>(B62/240)*100</f>
        <v>0.83333333333333337</v>
      </c>
      <c r="E62" s="20" t="s">
        <v>51</v>
      </c>
      <c r="F62" s="21">
        <v>8.3000000000000001E-3</v>
      </c>
    </row>
    <row r="63" spans="1:6" x14ac:dyDescent="0.3">
      <c r="A63" s="20" t="s">
        <v>52</v>
      </c>
      <c r="B63">
        <v>2</v>
      </c>
      <c r="C63">
        <f t="shared" ref="C63:C68" si="3">(B63/240)*100</f>
        <v>0.83333333333333337</v>
      </c>
      <c r="E63" s="20" t="s">
        <v>52</v>
      </c>
      <c r="F63" s="21">
        <v>8.3000000000000001E-3</v>
      </c>
    </row>
    <row r="64" spans="1:6" x14ac:dyDescent="0.3">
      <c r="A64" s="20" t="s">
        <v>53</v>
      </c>
      <c r="B64">
        <v>88</v>
      </c>
      <c r="C64">
        <f t="shared" si="3"/>
        <v>36.666666666666664</v>
      </c>
      <c r="E64" s="20" t="s">
        <v>53</v>
      </c>
      <c r="F64" s="21">
        <v>0.36670000000000003</v>
      </c>
    </row>
    <row r="65" spans="1:6" x14ac:dyDescent="0.3">
      <c r="A65" s="20" t="s">
        <v>54</v>
      </c>
      <c r="B65">
        <v>1</v>
      </c>
      <c r="C65">
        <f t="shared" si="3"/>
        <v>0.41666666666666669</v>
      </c>
      <c r="E65" s="20" t="s">
        <v>54</v>
      </c>
      <c r="F65" s="21">
        <v>4.1999999999999997E-3</v>
      </c>
    </row>
    <row r="66" spans="1:6" x14ac:dyDescent="0.3">
      <c r="A66" s="20" t="s">
        <v>55</v>
      </c>
      <c r="B66">
        <v>1</v>
      </c>
      <c r="C66">
        <f t="shared" si="3"/>
        <v>0.41666666666666669</v>
      </c>
      <c r="E66" s="20" t="s">
        <v>55</v>
      </c>
      <c r="F66" s="21">
        <v>4.1999999999999997E-3</v>
      </c>
    </row>
    <row r="67" spans="1:6" x14ac:dyDescent="0.3">
      <c r="A67" s="20" t="s">
        <v>56</v>
      </c>
      <c r="B67">
        <v>66</v>
      </c>
      <c r="C67">
        <f t="shared" si="3"/>
        <v>27.500000000000004</v>
      </c>
      <c r="E67" s="20" t="s">
        <v>56</v>
      </c>
      <c r="F67" s="21">
        <v>0.27500000000000002</v>
      </c>
    </row>
    <row r="68" spans="1:6" x14ac:dyDescent="0.3">
      <c r="A68" s="20" t="s">
        <v>47</v>
      </c>
      <c r="B68">
        <v>80</v>
      </c>
      <c r="C68">
        <f t="shared" si="3"/>
        <v>33.333333333333329</v>
      </c>
      <c r="E68" s="20" t="s">
        <v>47</v>
      </c>
      <c r="F68" s="21">
        <v>0.33329999999999999</v>
      </c>
    </row>
    <row r="69" spans="1:6" x14ac:dyDescent="0.3">
      <c r="A69" s="20" t="s">
        <v>6</v>
      </c>
      <c r="B69">
        <v>240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D31F4-BBF5-46DB-81D9-BD006691A967}">
  <dimension ref="A1:AE32"/>
  <sheetViews>
    <sheetView topLeftCell="I13" workbookViewId="0">
      <selection activeCell="S33" sqref="S33"/>
    </sheetView>
  </sheetViews>
  <sheetFormatPr defaultRowHeight="14.4" x14ac:dyDescent="0.3"/>
  <cols>
    <col min="1" max="1" width="13" customWidth="1"/>
    <col min="5" max="5" width="13.44140625" customWidth="1"/>
  </cols>
  <sheetData>
    <row r="1" spans="1:31" x14ac:dyDescent="0.3">
      <c r="A1" t="s">
        <v>0</v>
      </c>
    </row>
    <row r="2" spans="1:31" x14ac:dyDescent="0.3">
      <c r="A2" s="34" t="s">
        <v>58</v>
      </c>
      <c r="B2" s="34"/>
      <c r="C2" s="34"/>
      <c r="N2" t="s">
        <v>58</v>
      </c>
    </row>
    <row r="3" spans="1:31" x14ac:dyDescent="0.3">
      <c r="A3" s="1"/>
      <c r="B3" s="2">
        <v>1</v>
      </c>
      <c r="C3" s="2" t="s">
        <v>7</v>
      </c>
      <c r="D3" s="2" t="s">
        <v>8</v>
      </c>
      <c r="E3" s="2" t="s">
        <v>9</v>
      </c>
      <c r="F3" s="7">
        <v>2</v>
      </c>
      <c r="G3" s="2" t="s">
        <v>10</v>
      </c>
      <c r="H3" s="7" t="s">
        <v>11</v>
      </c>
      <c r="I3" s="2">
        <v>6</v>
      </c>
      <c r="J3" s="2">
        <v>13</v>
      </c>
      <c r="K3" s="18" t="s">
        <v>61</v>
      </c>
      <c r="L3" s="2" t="s">
        <v>12</v>
      </c>
      <c r="N3" s="1"/>
      <c r="O3" s="2">
        <v>1</v>
      </c>
      <c r="P3" s="2" t="s">
        <v>7</v>
      </c>
      <c r="Q3" s="2" t="s">
        <v>8</v>
      </c>
      <c r="R3" s="7" t="s">
        <v>9</v>
      </c>
      <c r="S3" s="36">
        <v>2</v>
      </c>
      <c r="T3" s="2" t="s">
        <v>10</v>
      </c>
      <c r="U3" s="7" t="s">
        <v>11</v>
      </c>
      <c r="V3" s="2">
        <v>6</v>
      </c>
      <c r="W3" s="2">
        <v>13</v>
      </c>
      <c r="X3" s="18" t="s">
        <v>61</v>
      </c>
      <c r="Y3" s="2" t="s">
        <v>12</v>
      </c>
      <c r="AB3" s="16"/>
      <c r="AC3" s="16">
        <v>5</v>
      </c>
      <c r="AD3" s="16" t="s">
        <v>61</v>
      </c>
      <c r="AE3" s="16" t="s">
        <v>39</v>
      </c>
    </row>
    <row r="4" spans="1:31" x14ac:dyDescent="0.3">
      <c r="A4" t="s">
        <v>3</v>
      </c>
      <c r="B4" s="13">
        <v>0</v>
      </c>
      <c r="C4" s="13">
        <v>0</v>
      </c>
      <c r="D4" s="13">
        <v>0</v>
      </c>
      <c r="E4" s="13">
        <v>0</v>
      </c>
      <c r="F4" s="14">
        <v>0</v>
      </c>
      <c r="G4" s="13">
        <v>0</v>
      </c>
      <c r="H4" s="14">
        <v>32</v>
      </c>
      <c r="I4" s="13">
        <v>0</v>
      </c>
      <c r="J4" s="13">
        <v>0</v>
      </c>
      <c r="K4" s="16">
        <v>48</v>
      </c>
      <c r="L4" s="3">
        <v>80</v>
      </c>
      <c r="N4" t="s">
        <v>3</v>
      </c>
      <c r="O4" s="13">
        <v>0</v>
      </c>
      <c r="P4" s="13">
        <v>0</v>
      </c>
      <c r="Q4" s="13">
        <v>0</v>
      </c>
      <c r="R4" s="14">
        <v>0</v>
      </c>
      <c r="S4" s="37">
        <v>0</v>
      </c>
      <c r="T4" s="13">
        <v>0</v>
      </c>
      <c r="U4" s="14">
        <v>32</v>
      </c>
      <c r="V4" s="13">
        <v>0</v>
      </c>
      <c r="W4" s="13">
        <v>0</v>
      </c>
      <c r="X4" s="16">
        <v>48</v>
      </c>
      <c r="Y4" s="3">
        <v>80</v>
      </c>
      <c r="AB4" s="16" t="s">
        <v>3</v>
      </c>
      <c r="AC4" s="16">
        <v>32</v>
      </c>
      <c r="AD4" s="16">
        <v>48</v>
      </c>
      <c r="AE4" s="16">
        <v>80</v>
      </c>
    </row>
    <row r="5" spans="1:31" x14ac:dyDescent="0.3">
      <c r="A5" t="s">
        <v>4</v>
      </c>
      <c r="B5" s="13">
        <v>0</v>
      </c>
      <c r="C5" s="13">
        <v>0</v>
      </c>
      <c r="D5" s="13">
        <v>0</v>
      </c>
      <c r="E5" s="13">
        <v>6</v>
      </c>
      <c r="F5" s="14">
        <v>0</v>
      </c>
      <c r="G5" s="13">
        <v>0</v>
      </c>
      <c r="H5" s="14">
        <v>32</v>
      </c>
      <c r="I5" s="13">
        <v>0</v>
      </c>
      <c r="J5" s="13">
        <v>0</v>
      </c>
      <c r="K5" s="16">
        <v>42</v>
      </c>
      <c r="L5" s="3">
        <v>80</v>
      </c>
      <c r="N5" t="s">
        <v>4</v>
      </c>
      <c r="O5" s="13">
        <v>0</v>
      </c>
      <c r="P5" s="13">
        <v>0</v>
      </c>
      <c r="Q5" s="13">
        <v>0</v>
      </c>
      <c r="R5" s="14">
        <v>6</v>
      </c>
      <c r="S5" s="37">
        <v>0</v>
      </c>
      <c r="T5" s="13">
        <v>0</v>
      </c>
      <c r="U5" s="14">
        <v>32</v>
      </c>
      <c r="V5" s="13">
        <v>0</v>
      </c>
      <c r="W5" s="13">
        <v>0</v>
      </c>
      <c r="X5" s="16">
        <v>42</v>
      </c>
      <c r="Y5" s="3">
        <v>80</v>
      </c>
      <c r="AB5" s="16" t="s">
        <v>4</v>
      </c>
      <c r="AC5" s="16">
        <v>38</v>
      </c>
      <c r="AD5" s="16">
        <v>42</v>
      </c>
      <c r="AE5" s="16">
        <v>80</v>
      </c>
    </row>
    <row r="6" spans="1:31" x14ac:dyDescent="0.3">
      <c r="A6" t="s">
        <v>5</v>
      </c>
      <c r="B6" s="13">
        <v>0</v>
      </c>
      <c r="C6" s="13">
        <v>0</v>
      </c>
      <c r="D6" s="13">
        <v>0</v>
      </c>
      <c r="E6" s="13">
        <v>2</v>
      </c>
      <c r="F6" s="14">
        <v>0</v>
      </c>
      <c r="G6" s="13">
        <v>0</v>
      </c>
      <c r="H6" s="14">
        <v>11</v>
      </c>
      <c r="I6" s="13">
        <v>0</v>
      </c>
      <c r="J6" s="13">
        <v>0</v>
      </c>
      <c r="K6" s="16">
        <v>67</v>
      </c>
      <c r="L6" s="3">
        <v>80</v>
      </c>
      <c r="N6" t="s">
        <v>5</v>
      </c>
      <c r="O6" s="13">
        <v>0</v>
      </c>
      <c r="P6" s="13">
        <v>0</v>
      </c>
      <c r="Q6" s="13">
        <v>0</v>
      </c>
      <c r="R6" s="14">
        <v>2</v>
      </c>
      <c r="S6" s="37">
        <v>0</v>
      </c>
      <c r="T6" s="13">
        <v>0</v>
      </c>
      <c r="U6" s="14">
        <v>11</v>
      </c>
      <c r="V6" s="13">
        <v>0</v>
      </c>
      <c r="W6" s="13">
        <v>0</v>
      </c>
      <c r="X6" s="16">
        <v>67</v>
      </c>
      <c r="Y6" s="3">
        <v>80</v>
      </c>
      <c r="AB6" s="16" t="s">
        <v>5</v>
      </c>
      <c r="AC6" s="16">
        <v>13</v>
      </c>
      <c r="AD6" s="16">
        <v>67</v>
      </c>
      <c r="AE6" s="16">
        <v>80</v>
      </c>
    </row>
    <row r="7" spans="1:31" x14ac:dyDescent="0.3">
      <c r="A7" t="s">
        <v>6</v>
      </c>
      <c r="B7" s="13">
        <v>0</v>
      </c>
      <c r="C7" s="13">
        <v>0</v>
      </c>
      <c r="D7" s="13">
        <v>0</v>
      </c>
      <c r="E7" s="13">
        <v>8</v>
      </c>
      <c r="F7" s="14">
        <v>0</v>
      </c>
      <c r="G7" s="13">
        <v>0</v>
      </c>
      <c r="H7" s="14">
        <v>75</v>
      </c>
      <c r="I7" s="13">
        <v>0</v>
      </c>
      <c r="J7" s="13">
        <v>0</v>
      </c>
      <c r="K7" s="16">
        <v>157</v>
      </c>
      <c r="L7" s="3">
        <v>240</v>
      </c>
      <c r="N7" t="s">
        <v>6</v>
      </c>
      <c r="O7" s="13">
        <v>0</v>
      </c>
      <c r="P7" s="13">
        <v>0</v>
      </c>
      <c r="Q7" s="13">
        <v>0</v>
      </c>
      <c r="R7" s="14">
        <v>8</v>
      </c>
      <c r="S7" s="37">
        <v>0</v>
      </c>
      <c r="T7" s="13">
        <v>0</v>
      </c>
      <c r="U7" s="14">
        <v>75</v>
      </c>
      <c r="V7" s="13">
        <v>0</v>
      </c>
      <c r="W7" s="13">
        <v>0</v>
      </c>
      <c r="X7" s="16">
        <v>157</v>
      </c>
      <c r="Y7" s="3">
        <v>240</v>
      </c>
      <c r="AB7" s="16" t="s">
        <v>6</v>
      </c>
      <c r="AC7" s="16">
        <v>83</v>
      </c>
      <c r="AD7" s="16">
        <v>157</v>
      </c>
      <c r="AE7" s="16">
        <v>240</v>
      </c>
    </row>
    <row r="9" spans="1:31" x14ac:dyDescent="0.3">
      <c r="A9" t="s">
        <v>3</v>
      </c>
    </row>
    <row r="10" spans="1:31" x14ac:dyDescent="0.3">
      <c r="A10" t="s">
        <v>45</v>
      </c>
      <c r="B10" s="24">
        <v>32</v>
      </c>
      <c r="C10" s="29">
        <f>(B10/80)</f>
        <v>0.4</v>
      </c>
      <c r="E10" t="s">
        <v>45</v>
      </c>
      <c r="F10" s="29">
        <v>0.4</v>
      </c>
    </row>
    <row r="11" spans="1:31" x14ac:dyDescent="0.3">
      <c r="A11" t="s">
        <v>62</v>
      </c>
      <c r="B11" s="24">
        <v>48</v>
      </c>
      <c r="C11" s="29">
        <f>(B11/80)</f>
        <v>0.6</v>
      </c>
      <c r="E11" t="s">
        <v>70</v>
      </c>
      <c r="F11" s="29">
        <v>0.6</v>
      </c>
    </row>
    <row r="12" spans="1:31" x14ac:dyDescent="0.3">
      <c r="A12" t="s">
        <v>39</v>
      </c>
      <c r="B12" s="24">
        <v>80</v>
      </c>
    </row>
    <row r="15" spans="1:31" x14ac:dyDescent="0.3">
      <c r="A15" t="s">
        <v>4</v>
      </c>
    </row>
    <row r="16" spans="1:31" x14ac:dyDescent="0.3">
      <c r="A16" t="s">
        <v>49</v>
      </c>
      <c r="B16" s="20">
        <v>6</v>
      </c>
      <c r="C16" s="29">
        <f>(B16/80)</f>
        <v>7.4999999999999997E-2</v>
      </c>
      <c r="E16" t="s">
        <v>66</v>
      </c>
      <c r="F16">
        <v>38</v>
      </c>
      <c r="G16" s="29">
        <f>(F16/80)</f>
        <v>0.47499999999999998</v>
      </c>
      <c r="H16" t="s">
        <v>81</v>
      </c>
      <c r="I16" s="21">
        <v>0.47499999999999998</v>
      </c>
    </row>
    <row r="17" spans="1:9" x14ac:dyDescent="0.3">
      <c r="A17" t="s">
        <v>45</v>
      </c>
      <c r="B17" s="20">
        <v>32</v>
      </c>
      <c r="C17" s="29">
        <f t="shared" ref="C17:C18" si="0">(B17/80)</f>
        <v>0.4</v>
      </c>
      <c r="H17" t="s">
        <v>70</v>
      </c>
      <c r="I17" s="21">
        <v>0.52500000000000002</v>
      </c>
    </row>
    <row r="18" spans="1:9" x14ac:dyDescent="0.3">
      <c r="A18" t="s">
        <v>62</v>
      </c>
      <c r="B18" s="20">
        <v>42</v>
      </c>
      <c r="C18" s="29">
        <f t="shared" si="0"/>
        <v>0.52500000000000002</v>
      </c>
    </row>
    <row r="19" spans="1:9" x14ac:dyDescent="0.3">
      <c r="A19" t="s">
        <v>39</v>
      </c>
      <c r="B19" s="20">
        <v>80</v>
      </c>
    </row>
    <row r="20" spans="1:9" x14ac:dyDescent="0.3">
      <c r="B20" s="20"/>
    </row>
    <row r="21" spans="1:9" x14ac:dyDescent="0.3">
      <c r="B21" s="20"/>
    </row>
    <row r="22" spans="1:9" x14ac:dyDescent="0.3">
      <c r="A22" t="s">
        <v>5</v>
      </c>
      <c r="B22" s="20"/>
    </row>
    <row r="23" spans="1:9" x14ac:dyDescent="0.3">
      <c r="A23" t="s">
        <v>49</v>
      </c>
      <c r="B23" s="20">
        <v>2</v>
      </c>
      <c r="C23" s="30">
        <f>(B23/80)</f>
        <v>2.5000000000000001E-2</v>
      </c>
      <c r="E23" t="s">
        <v>66</v>
      </c>
      <c r="F23">
        <v>13</v>
      </c>
      <c r="G23" s="29">
        <f>(F23/80)</f>
        <v>0.16250000000000001</v>
      </c>
      <c r="H23" t="s">
        <v>75</v>
      </c>
      <c r="I23" s="21">
        <v>0.16300000000000001</v>
      </c>
    </row>
    <row r="24" spans="1:9" x14ac:dyDescent="0.3">
      <c r="A24" t="s">
        <v>45</v>
      </c>
      <c r="B24" s="20">
        <v>11</v>
      </c>
      <c r="C24" s="30">
        <f t="shared" ref="C24:C25" si="1">(B24/80)</f>
        <v>0.13750000000000001</v>
      </c>
      <c r="H24" t="s">
        <v>70</v>
      </c>
      <c r="I24" s="21">
        <v>0.83750000000000002</v>
      </c>
    </row>
    <row r="25" spans="1:9" x14ac:dyDescent="0.3">
      <c r="A25" t="s">
        <v>62</v>
      </c>
      <c r="B25" s="20">
        <v>67</v>
      </c>
      <c r="C25" s="30">
        <f t="shared" si="1"/>
        <v>0.83750000000000002</v>
      </c>
    </row>
    <row r="26" spans="1:9" x14ac:dyDescent="0.3">
      <c r="A26" t="s">
        <v>39</v>
      </c>
      <c r="B26" s="20">
        <v>80</v>
      </c>
    </row>
    <row r="27" spans="1:9" x14ac:dyDescent="0.3">
      <c r="B27" s="20"/>
    </row>
    <row r="28" spans="1:9" x14ac:dyDescent="0.3">
      <c r="A28" t="s">
        <v>67</v>
      </c>
      <c r="B28" s="20"/>
    </row>
    <row r="29" spans="1:9" x14ac:dyDescent="0.3">
      <c r="A29" t="s">
        <v>49</v>
      </c>
      <c r="B29" s="20">
        <v>8</v>
      </c>
      <c r="C29" s="30">
        <f>B29/240</f>
        <v>3.3333333333333333E-2</v>
      </c>
      <c r="E29" t="s">
        <v>66</v>
      </c>
      <c r="F29">
        <v>83</v>
      </c>
      <c r="G29" s="29">
        <f>(F29/240)</f>
        <v>0.34583333333333333</v>
      </c>
      <c r="H29" t="s">
        <v>75</v>
      </c>
      <c r="I29" s="21">
        <v>0.34599999999999997</v>
      </c>
    </row>
    <row r="30" spans="1:9" x14ac:dyDescent="0.3">
      <c r="A30" t="s">
        <v>45</v>
      </c>
      <c r="B30" s="20">
        <v>75</v>
      </c>
      <c r="C30" s="30">
        <f t="shared" ref="C30:C31" si="2">B30/240</f>
        <v>0.3125</v>
      </c>
      <c r="H30" t="s">
        <v>70</v>
      </c>
      <c r="I30" s="21">
        <v>0.6542</v>
      </c>
    </row>
    <row r="31" spans="1:9" x14ac:dyDescent="0.3">
      <c r="A31" t="s">
        <v>62</v>
      </c>
      <c r="B31" s="20">
        <v>157</v>
      </c>
      <c r="C31" s="30">
        <f t="shared" si="2"/>
        <v>0.65416666666666667</v>
      </c>
    </row>
    <row r="32" spans="1:9" x14ac:dyDescent="0.3">
      <c r="A32" t="s">
        <v>6</v>
      </c>
      <c r="B32" s="20">
        <v>240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F49D-ADDB-4E3E-8593-CCB96502C57E}">
  <dimension ref="A1:Z32"/>
  <sheetViews>
    <sheetView workbookViewId="0">
      <selection activeCell="W29" sqref="W29"/>
    </sheetView>
  </sheetViews>
  <sheetFormatPr defaultRowHeight="14.4" x14ac:dyDescent="0.3"/>
  <cols>
    <col min="1" max="1" width="15.88671875" customWidth="1"/>
    <col min="6" max="6" width="11.21875" customWidth="1"/>
    <col min="7" max="7" width="11" customWidth="1"/>
    <col min="8" max="8" width="14.77734375" customWidth="1"/>
  </cols>
  <sheetData>
    <row r="1" spans="1:26" x14ac:dyDescent="0.3">
      <c r="A1" t="s">
        <v>15</v>
      </c>
    </row>
    <row r="2" spans="1:26" x14ac:dyDescent="0.3">
      <c r="A2" t="s">
        <v>65</v>
      </c>
      <c r="N2" s="34" t="s">
        <v>65</v>
      </c>
      <c r="O2" s="34"/>
      <c r="P2" s="34"/>
      <c r="T2" t="s">
        <v>73</v>
      </c>
      <c r="Y2" t="s">
        <v>74</v>
      </c>
    </row>
    <row r="3" spans="1:26" x14ac:dyDescent="0.3">
      <c r="A3" s="1"/>
      <c r="B3" s="2" t="s">
        <v>29</v>
      </c>
      <c r="C3" s="2" t="s">
        <v>30</v>
      </c>
      <c r="D3" s="2">
        <v>9</v>
      </c>
      <c r="E3" s="2" t="s">
        <v>31</v>
      </c>
      <c r="F3" s="2" t="s">
        <v>32</v>
      </c>
      <c r="G3" s="2" t="s">
        <v>33</v>
      </c>
      <c r="H3" s="2">
        <v>13</v>
      </c>
      <c r="I3" s="27" t="s">
        <v>61</v>
      </c>
      <c r="J3" s="2" t="s">
        <v>12</v>
      </c>
      <c r="N3" s="1"/>
      <c r="O3" s="2">
        <v>12</v>
      </c>
      <c r="P3" s="27" t="s">
        <v>61</v>
      </c>
      <c r="Q3" s="2" t="s">
        <v>12</v>
      </c>
      <c r="T3" s="1"/>
      <c r="U3" s="2">
        <v>12</v>
      </c>
      <c r="V3" s="27" t="s">
        <v>61</v>
      </c>
      <c r="W3" s="2" t="s">
        <v>12</v>
      </c>
      <c r="Y3" s="27" t="s">
        <v>61</v>
      </c>
      <c r="Z3" s="2" t="s">
        <v>12</v>
      </c>
    </row>
    <row r="4" spans="1:26" x14ac:dyDescent="0.3">
      <c r="A4" t="s">
        <v>3</v>
      </c>
      <c r="B4" s="3">
        <v>0</v>
      </c>
      <c r="C4" s="3">
        <v>0</v>
      </c>
      <c r="D4" s="8">
        <v>0</v>
      </c>
      <c r="E4" s="3">
        <v>0</v>
      </c>
      <c r="F4" s="3">
        <v>0</v>
      </c>
      <c r="G4" s="8">
        <v>2</v>
      </c>
      <c r="H4" s="3">
        <v>0</v>
      </c>
      <c r="I4" s="16">
        <v>78</v>
      </c>
      <c r="J4" s="3">
        <v>80</v>
      </c>
      <c r="N4" t="s">
        <v>3</v>
      </c>
      <c r="O4" s="8">
        <v>2</v>
      </c>
      <c r="P4" s="16">
        <v>78</v>
      </c>
      <c r="Q4" s="3">
        <v>80</v>
      </c>
      <c r="T4" t="s">
        <v>3</v>
      </c>
      <c r="U4" s="32">
        <f>(2/80)</f>
        <v>2.5000000000000001E-2</v>
      </c>
      <c r="V4" s="33">
        <f>(78/80)</f>
        <v>0.97499999999999998</v>
      </c>
      <c r="W4" s="3">
        <v>80</v>
      </c>
      <c r="Y4" s="33">
        <f>(78/80)</f>
        <v>0.97499999999999998</v>
      </c>
      <c r="Z4" s="3">
        <v>80</v>
      </c>
    </row>
    <row r="5" spans="1:26" x14ac:dyDescent="0.3">
      <c r="A5" t="s">
        <v>4</v>
      </c>
      <c r="B5" s="3">
        <v>0</v>
      </c>
      <c r="C5" s="3">
        <v>2</v>
      </c>
      <c r="D5" s="8">
        <v>0</v>
      </c>
      <c r="E5" s="3">
        <v>0</v>
      </c>
      <c r="F5" s="3">
        <v>1</v>
      </c>
      <c r="G5" s="8">
        <v>34</v>
      </c>
      <c r="H5" s="3">
        <v>0</v>
      </c>
      <c r="I5" s="16">
        <v>43</v>
      </c>
      <c r="J5" s="3">
        <v>80</v>
      </c>
      <c r="N5" t="s">
        <v>4</v>
      </c>
      <c r="O5" s="8">
        <v>37</v>
      </c>
      <c r="P5" s="16">
        <v>43</v>
      </c>
      <c r="Q5" s="3">
        <v>80</v>
      </c>
      <c r="T5" t="s">
        <v>4</v>
      </c>
      <c r="U5" s="32">
        <f>(37/80)</f>
        <v>0.46250000000000002</v>
      </c>
      <c r="V5" s="33">
        <f>(43/80)</f>
        <v>0.53749999999999998</v>
      </c>
      <c r="W5" s="3">
        <v>80</v>
      </c>
      <c r="Y5" s="33">
        <f>(43/80)</f>
        <v>0.53749999999999998</v>
      </c>
      <c r="Z5" s="3">
        <v>80</v>
      </c>
    </row>
    <row r="6" spans="1:26" x14ac:dyDescent="0.3">
      <c r="A6" t="s">
        <v>5</v>
      </c>
      <c r="B6" s="3">
        <v>0</v>
      </c>
      <c r="C6" s="3">
        <v>0</v>
      </c>
      <c r="D6" s="8">
        <v>0</v>
      </c>
      <c r="E6" s="3">
        <v>0</v>
      </c>
      <c r="F6" s="3">
        <v>0</v>
      </c>
      <c r="G6" s="8">
        <v>30</v>
      </c>
      <c r="H6" s="3">
        <v>0</v>
      </c>
      <c r="I6" s="16">
        <v>50</v>
      </c>
      <c r="J6" s="3">
        <v>80</v>
      </c>
      <c r="N6" t="s">
        <v>5</v>
      </c>
      <c r="O6" s="8">
        <v>30</v>
      </c>
      <c r="P6" s="16">
        <v>50</v>
      </c>
      <c r="Q6" s="3">
        <v>80</v>
      </c>
      <c r="T6" t="s">
        <v>5</v>
      </c>
      <c r="U6" s="32">
        <f>(30/80)</f>
        <v>0.375</v>
      </c>
      <c r="V6" s="33">
        <f>(50/80)</f>
        <v>0.625</v>
      </c>
      <c r="W6" s="3">
        <v>80</v>
      </c>
      <c r="Y6" s="33">
        <f>(50/80)</f>
        <v>0.625</v>
      </c>
      <c r="Z6" s="3">
        <v>80</v>
      </c>
    </row>
    <row r="7" spans="1:26" x14ac:dyDescent="0.3">
      <c r="A7" t="s">
        <v>6</v>
      </c>
      <c r="B7" s="3">
        <v>0</v>
      </c>
      <c r="C7" s="3">
        <v>2</v>
      </c>
      <c r="D7" s="8">
        <v>0</v>
      </c>
      <c r="E7" s="3">
        <v>0</v>
      </c>
      <c r="F7" s="3">
        <v>1</v>
      </c>
      <c r="G7" s="8">
        <v>66</v>
      </c>
      <c r="H7" s="3">
        <v>0</v>
      </c>
      <c r="I7" s="16">
        <v>171</v>
      </c>
      <c r="J7" s="3">
        <v>240</v>
      </c>
      <c r="N7" t="s">
        <v>6</v>
      </c>
      <c r="O7" s="8">
        <v>69</v>
      </c>
      <c r="P7" s="16">
        <v>171</v>
      </c>
      <c r="Q7" s="3">
        <v>240</v>
      </c>
      <c r="T7" t="s">
        <v>6</v>
      </c>
      <c r="U7" s="32">
        <f>(69/240)</f>
        <v>0.28749999999999998</v>
      </c>
      <c r="V7" s="33">
        <f>(171/240)</f>
        <v>0.71250000000000002</v>
      </c>
      <c r="W7" s="3">
        <v>240</v>
      </c>
      <c r="Y7" s="33">
        <f>(171/240)</f>
        <v>0.71250000000000002</v>
      </c>
      <c r="Z7" s="3">
        <v>240</v>
      </c>
    </row>
    <row r="9" spans="1:26" x14ac:dyDescent="0.3">
      <c r="A9" t="s">
        <v>3</v>
      </c>
      <c r="E9" t="s">
        <v>3</v>
      </c>
    </row>
    <row r="10" spans="1:26" x14ac:dyDescent="0.3">
      <c r="A10" t="s">
        <v>56</v>
      </c>
      <c r="B10" s="23">
        <v>2</v>
      </c>
      <c r="C10" s="29">
        <f>(B10/80)</f>
        <v>2.5000000000000001E-2</v>
      </c>
      <c r="E10" t="s">
        <v>56</v>
      </c>
      <c r="F10" s="31">
        <v>2.5000000000000001E-2</v>
      </c>
    </row>
    <row r="11" spans="1:26" x14ac:dyDescent="0.3">
      <c r="A11" t="s">
        <v>68</v>
      </c>
      <c r="B11" s="23">
        <v>78</v>
      </c>
      <c r="C11" s="29">
        <f>(B11/80)</f>
        <v>0.97499999999999998</v>
      </c>
      <c r="E11" t="s">
        <v>69</v>
      </c>
      <c r="F11" s="31">
        <v>0.97499999999999998</v>
      </c>
    </row>
    <row r="12" spans="1:26" x14ac:dyDescent="0.3">
      <c r="A12" t="s">
        <v>39</v>
      </c>
      <c r="B12" s="23">
        <v>80</v>
      </c>
    </row>
    <row r="15" spans="1:26" x14ac:dyDescent="0.3">
      <c r="A15" t="s">
        <v>4</v>
      </c>
      <c r="H15" t="s">
        <v>4</v>
      </c>
    </row>
    <row r="16" spans="1:26" x14ac:dyDescent="0.3">
      <c r="A16" t="s">
        <v>52</v>
      </c>
      <c r="B16" s="23">
        <v>2</v>
      </c>
      <c r="C16" s="30">
        <f>(B16/80)</f>
        <v>2.5000000000000001E-2</v>
      </c>
      <c r="E16" t="s">
        <v>76</v>
      </c>
      <c r="F16">
        <f>37</f>
        <v>37</v>
      </c>
      <c r="G16" s="29">
        <f>(F16/80)</f>
        <v>0.46250000000000002</v>
      </c>
      <c r="H16" t="s">
        <v>77</v>
      </c>
      <c r="I16" s="21">
        <v>0.46300000000000002</v>
      </c>
    </row>
    <row r="17" spans="1:9" x14ac:dyDescent="0.3">
      <c r="A17" t="s">
        <v>55</v>
      </c>
      <c r="B17" s="23">
        <v>1</v>
      </c>
      <c r="C17" s="30">
        <f t="shared" ref="C17:C19" si="0">(B17/80)</f>
        <v>1.2500000000000001E-2</v>
      </c>
      <c r="E17" t="s">
        <v>22</v>
      </c>
      <c r="F17">
        <v>43</v>
      </c>
      <c r="G17" s="29">
        <f>(F17/80)</f>
        <v>0.53749999999999998</v>
      </c>
      <c r="H17" t="s">
        <v>69</v>
      </c>
      <c r="I17" s="31">
        <v>0.53749999999999998</v>
      </c>
    </row>
    <row r="18" spans="1:9" x14ac:dyDescent="0.3">
      <c r="A18" t="s">
        <v>56</v>
      </c>
      <c r="B18" s="23">
        <v>34</v>
      </c>
      <c r="C18" s="30">
        <f t="shared" si="0"/>
        <v>0.42499999999999999</v>
      </c>
      <c r="I18" s="21"/>
    </row>
    <row r="19" spans="1:9" x14ac:dyDescent="0.3">
      <c r="A19" t="s">
        <v>68</v>
      </c>
      <c r="B19" s="23">
        <v>43</v>
      </c>
      <c r="C19" s="30">
        <f t="shared" si="0"/>
        <v>0.53749999999999998</v>
      </c>
    </row>
    <row r="20" spans="1:9" x14ac:dyDescent="0.3">
      <c r="A20" t="s">
        <v>39</v>
      </c>
      <c r="B20" s="23">
        <v>80</v>
      </c>
    </row>
    <row r="21" spans="1:9" x14ac:dyDescent="0.3">
      <c r="B21" s="20"/>
    </row>
    <row r="22" spans="1:9" x14ac:dyDescent="0.3">
      <c r="A22" s="12" t="s">
        <v>5</v>
      </c>
      <c r="B22" s="28"/>
      <c r="E22" s="12" t="s">
        <v>5</v>
      </c>
    </row>
    <row r="23" spans="1:9" x14ac:dyDescent="0.3">
      <c r="A23" s="12" t="s">
        <v>56</v>
      </c>
      <c r="B23" s="23">
        <v>30</v>
      </c>
      <c r="C23" s="29">
        <f>B23/80</f>
        <v>0.375</v>
      </c>
      <c r="E23" s="12" t="s">
        <v>56</v>
      </c>
      <c r="F23" s="21">
        <v>0.375</v>
      </c>
    </row>
    <row r="24" spans="1:9" x14ac:dyDescent="0.3">
      <c r="A24" t="s">
        <v>68</v>
      </c>
      <c r="B24" s="23">
        <v>50</v>
      </c>
      <c r="C24" s="29">
        <f>B24/80</f>
        <v>0.625</v>
      </c>
      <c r="E24" t="s">
        <v>69</v>
      </c>
      <c r="F24" s="21">
        <v>0.625</v>
      </c>
    </row>
    <row r="25" spans="1:9" x14ac:dyDescent="0.3">
      <c r="A25" s="12" t="s">
        <v>39</v>
      </c>
      <c r="B25" s="23">
        <v>80</v>
      </c>
    </row>
    <row r="26" spans="1:9" x14ac:dyDescent="0.3">
      <c r="B26" s="20"/>
    </row>
    <row r="27" spans="1:9" x14ac:dyDescent="0.3">
      <c r="A27" t="s">
        <v>39</v>
      </c>
      <c r="B27" s="20"/>
      <c r="E27" t="s">
        <v>6</v>
      </c>
      <c r="H27" t="s">
        <v>39</v>
      </c>
    </row>
    <row r="28" spans="1:9" x14ac:dyDescent="0.3">
      <c r="A28" t="s">
        <v>52</v>
      </c>
      <c r="B28" s="20">
        <v>2</v>
      </c>
      <c r="C28" s="30">
        <f>B28/240</f>
        <v>8.3333333333333332E-3</v>
      </c>
      <c r="E28" t="s">
        <v>77</v>
      </c>
      <c r="F28">
        <v>69</v>
      </c>
      <c r="G28" s="29">
        <f>(F28/240)</f>
        <v>0.28749999999999998</v>
      </c>
      <c r="H28" t="s">
        <v>77</v>
      </c>
      <c r="I28" s="21">
        <v>0.28799999999999998</v>
      </c>
    </row>
    <row r="29" spans="1:9" x14ac:dyDescent="0.3">
      <c r="A29" t="s">
        <v>55</v>
      </c>
      <c r="B29" s="20">
        <v>1</v>
      </c>
      <c r="C29" s="30">
        <f t="shared" ref="C29:C31" si="1">B29/240</f>
        <v>4.1666666666666666E-3</v>
      </c>
      <c r="E29" t="s">
        <v>62</v>
      </c>
      <c r="F29">
        <v>171</v>
      </c>
      <c r="G29" s="29">
        <f>(171/240)</f>
        <v>0.71250000000000002</v>
      </c>
      <c r="H29" t="s">
        <v>69</v>
      </c>
      <c r="I29" s="21">
        <v>0.71250000000000002</v>
      </c>
    </row>
    <row r="30" spans="1:9" x14ac:dyDescent="0.3">
      <c r="A30" t="s">
        <v>56</v>
      </c>
      <c r="B30" s="20">
        <v>66</v>
      </c>
      <c r="C30" s="30">
        <f t="shared" si="1"/>
        <v>0.27500000000000002</v>
      </c>
      <c r="I30" s="21"/>
    </row>
    <row r="31" spans="1:9" x14ac:dyDescent="0.3">
      <c r="A31" t="s">
        <v>68</v>
      </c>
      <c r="B31" s="20">
        <v>171</v>
      </c>
      <c r="C31" s="30">
        <f t="shared" si="1"/>
        <v>0.71250000000000002</v>
      </c>
    </row>
    <row r="32" spans="1:9" x14ac:dyDescent="0.3">
      <c r="A32" t="s">
        <v>39</v>
      </c>
      <c r="B32" s="20">
        <v>240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46DC4-F185-431A-BA24-F9809D173D1C}">
  <dimension ref="A1:O42"/>
  <sheetViews>
    <sheetView topLeftCell="B42" workbookViewId="0">
      <selection activeCell="P64" sqref="P64"/>
    </sheetView>
  </sheetViews>
  <sheetFormatPr defaultRowHeight="14.4" x14ac:dyDescent="0.3"/>
  <cols>
    <col min="4" max="4" width="17" customWidth="1"/>
  </cols>
  <sheetData>
    <row r="1" spans="1:15" x14ac:dyDescent="0.3">
      <c r="A1" t="s">
        <v>78</v>
      </c>
      <c r="I1" t="s">
        <v>0</v>
      </c>
    </row>
    <row r="2" spans="1:15" x14ac:dyDescent="0.3">
      <c r="A2" s="4" t="s">
        <v>66</v>
      </c>
      <c r="I2" s="4" t="s">
        <v>66</v>
      </c>
    </row>
    <row r="3" spans="1:15" x14ac:dyDescent="0.3">
      <c r="A3" s="1" t="s">
        <v>2</v>
      </c>
      <c r="I3" s="1" t="s">
        <v>2</v>
      </c>
      <c r="J3" s="34" t="s">
        <v>28</v>
      </c>
    </row>
    <row r="4" spans="1:15" x14ac:dyDescent="0.3">
      <c r="A4" s="1"/>
      <c r="B4" s="18" t="s">
        <v>23</v>
      </c>
      <c r="C4" s="18" t="s">
        <v>24</v>
      </c>
      <c r="D4" s="18" t="s">
        <v>25</v>
      </c>
      <c r="E4" s="18" t="s">
        <v>26</v>
      </c>
      <c r="F4" s="18" t="s">
        <v>27</v>
      </c>
      <c r="G4" s="18" t="s">
        <v>6</v>
      </c>
      <c r="I4" s="1"/>
      <c r="J4" s="18" t="s">
        <v>23</v>
      </c>
      <c r="K4" s="18" t="s">
        <v>24</v>
      </c>
      <c r="L4" s="18" t="s">
        <v>25</v>
      </c>
      <c r="M4" s="18" t="s">
        <v>26</v>
      </c>
      <c r="N4" s="18" t="s">
        <v>27</v>
      </c>
      <c r="O4" s="18" t="s">
        <v>6</v>
      </c>
    </row>
    <row r="5" spans="1:15" x14ac:dyDescent="0.3">
      <c r="A5" t="s">
        <v>3</v>
      </c>
      <c r="B5" s="16">
        <v>48</v>
      </c>
      <c r="C5" s="16">
        <v>8</v>
      </c>
      <c r="D5" s="16">
        <v>21</v>
      </c>
      <c r="E5" s="16">
        <v>3</v>
      </c>
      <c r="F5" s="16">
        <f>0</f>
        <v>0</v>
      </c>
      <c r="G5" s="16">
        <v>80</v>
      </c>
      <c r="I5" t="s">
        <v>3</v>
      </c>
      <c r="J5" s="33">
        <f>(48/80)</f>
        <v>0.6</v>
      </c>
      <c r="K5" s="33">
        <f>(8/80)</f>
        <v>0.1</v>
      </c>
      <c r="L5" s="33">
        <f>(21/80)</f>
        <v>0.26250000000000001</v>
      </c>
      <c r="M5" s="33">
        <f>(3/80)</f>
        <v>3.7499999999999999E-2</v>
      </c>
      <c r="N5" s="33">
        <f>0</f>
        <v>0</v>
      </c>
      <c r="O5" s="16">
        <v>80</v>
      </c>
    </row>
    <row r="6" spans="1:15" x14ac:dyDescent="0.3">
      <c r="A6" t="s">
        <v>4</v>
      </c>
      <c r="B6" s="16">
        <v>42</v>
      </c>
      <c r="C6" s="16">
        <v>11</v>
      </c>
      <c r="D6" s="16">
        <v>21</v>
      </c>
      <c r="E6" s="16">
        <v>6</v>
      </c>
      <c r="F6" s="16">
        <f>0</f>
        <v>0</v>
      </c>
      <c r="G6" s="16">
        <v>80</v>
      </c>
      <c r="I6" t="s">
        <v>4</v>
      </c>
      <c r="J6" s="33">
        <f>(42/80)</f>
        <v>0.52500000000000002</v>
      </c>
      <c r="K6" s="33">
        <f>(11/80)</f>
        <v>0.13750000000000001</v>
      </c>
      <c r="L6" s="33">
        <f>(21/80)</f>
        <v>0.26250000000000001</v>
      </c>
      <c r="M6" s="33">
        <f>(6/80)</f>
        <v>7.4999999999999997E-2</v>
      </c>
      <c r="N6" s="33">
        <f>0</f>
        <v>0</v>
      </c>
      <c r="O6" s="16">
        <v>80</v>
      </c>
    </row>
    <row r="7" spans="1:15" x14ac:dyDescent="0.3">
      <c r="A7" t="s">
        <v>5</v>
      </c>
      <c r="B7" s="16">
        <v>67</v>
      </c>
      <c r="C7" s="16">
        <v>9</v>
      </c>
      <c r="D7" s="16">
        <v>4</v>
      </c>
      <c r="E7" s="16">
        <v>0</v>
      </c>
      <c r="F7" s="16">
        <f>0</f>
        <v>0</v>
      </c>
      <c r="G7" s="16">
        <v>80</v>
      </c>
      <c r="I7" t="s">
        <v>5</v>
      </c>
      <c r="J7" s="33">
        <f>(67/80)</f>
        <v>0.83750000000000002</v>
      </c>
      <c r="K7" s="33">
        <f>(9/80)</f>
        <v>0.1125</v>
      </c>
      <c r="L7" s="33">
        <f>(4/80)</f>
        <v>0.05</v>
      </c>
      <c r="M7" s="33">
        <f>(0/80)</f>
        <v>0</v>
      </c>
      <c r="N7" s="33">
        <f>0</f>
        <v>0</v>
      </c>
      <c r="O7" s="16">
        <v>80</v>
      </c>
    </row>
    <row r="8" spans="1:15" x14ac:dyDescent="0.3">
      <c r="A8" t="s">
        <v>6</v>
      </c>
      <c r="B8" s="16">
        <v>157</v>
      </c>
      <c r="C8" s="16">
        <v>28</v>
      </c>
      <c r="D8" s="16">
        <v>46</v>
      </c>
      <c r="E8" s="16">
        <v>9</v>
      </c>
      <c r="F8" s="16">
        <f>0</f>
        <v>0</v>
      </c>
      <c r="G8" s="16">
        <v>240</v>
      </c>
      <c r="I8" t="s">
        <v>6</v>
      </c>
      <c r="J8" s="33">
        <f>(157/240)</f>
        <v>0.65416666666666667</v>
      </c>
      <c r="K8" s="33">
        <f>(28/240)</f>
        <v>0.11666666666666667</v>
      </c>
      <c r="L8" s="33">
        <f>(46/240)</f>
        <v>0.19166666666666668</v>
      </c>
      <c r="M8" s="33">
        <f>(9/240)</f>
        <v>3.7499999999999999E-2</v>
      </c>
      <c r="N8" s="33">
        <f>0</f>
        <v>0</v>
      </c>
      <c r="O8" s="16">
        <v>240</v>
      </c>
    </row>
    <row r="10" spans="1:15" x14ac:dyDescent="0.3">
      <c r="A10" t="s">
        <v>3</v>
      </c>
    </row>
    <row r="11" spans="1:15" x14ac:dyDescent="0.3">
      <c r="A11" t="s">
        <v>23</v>
      </c>
      <c r="B11">
        <v>48</v>
      </c>
      <c r="C11" s="30">
        <f>B11/80</f>
        <v>0.6</v>
      </c>
      <c r="E11" t="s">
        <v>23</v>
      </c>
      <c r="F11" s="31">
        <v>0.6</v>
      </c>
    </row>
    <row r="12" spans="1:15" x14ac:dyDescent="0.3">
      <c r="A12" t="s">
        <v>24</v>
      </c>
      <c r="B12">
        <v>8</v>
      </c>
      <c r="C12" s="30">
        <f t="shared" ref="C12:C15" si="0">B12/80</f>
        <v>0.1</v>
      </c>
      <c r="E12" t="s">
        <v>24</v>
      </c>
      <c r="F12" s="31">
        <v>0.1</v>
      </c>
    </row>
    <row r="13" spans="1:15" x14ac:dyDescent="0.3">
      <c r="A13" t="s">
        <v>25</v>
      </c>
      <c r="B13">
        <v>21</v>
      </c>
      <c r="C13" s="30">
        <f t="shared" si="0"/>
        <v>0.26250000000000001</v>
      </c>
      <c r="E13" t="s">
        <v>25</v>
      </c>
      <c r="F13" s="31">
        <v>0.26250000000000001</v>
      </c>
    </row>
    <row r="14" spans="1:15" x14ac:dyDescent="0.3">
      <c r="A14" t="s">
        <v>26</v>
      </c>
      <c r="B14">
        <v>3</v>
      </c>
      <c r="C14" s="30">
        <f t="shared" si="0"/>
        <v>3.7499999999999999E-2</v>
      </c>
      <c r="E14" t="s">
        <v>26</v>
      </c>
      <c r="F14" s="31">
        <v>3.7499999999999999E-2</v>
      </c>
    </row>
    <row r="15" spans="1:15" x14ac:dyDescent="0.3">
      <c r="A15" t="s">
        <v>27</v>
      </c>
      <c r="B15">
        <v>0</v>
      </c>
      <c r="C15" s="30">
        <f t="shared" si="0"/>
        <v>0</v>
      </c>
      <c r="E15" t="s">
        <v>27</v>
      </c>
      <c r="F15" s="31">
        <v>0</v>
      </c>
    </row>
    <row r="16" spans="1:15" x14ac:dyDescent="0.3">
      <c r="A16" t="s">
        <v>39</v>
      </c>
      <c r="B16">
        <v>80</v>
      </c>
      <c r="D16" t="s">
        <v>72</v>
      </c>
      <c r="E16" t="s">
        <v>71</v>
      </c>
    </row>
    <row r="19" spans="1:6" x14ac:dyDescent="0.3">
      <c r="A19" t="s">
        <v>4</v>
      </c>
    </row>
    <row r="20" spans="1:6" x14ac:dyDescent="0.3">
      <c r="A20" t="s">
        <v>23</v>
      </c>
      <c r="B20">
        <v>42</v>
      </c>
      <c r="C20" s="30">
        <f>B20/80</f>
        <v>0.52500000000000002</v>
      </c>
      <c r="E20" t="s">
        <v>23</v>
      </c>
      <c r="F20" s="31">
        <v>0.52500000000000002</v>
      </c>
    </row>
    <row r="21" spans="1:6" x14ac:dyDescent="0.3">
      <c r="A21" t="s">
        <v>24</v>
      </c>
      <c r="B21">
        <v>11</v>
      </c>
      <c r="C21" s="30">
        <f t="shared" ref="C21:C24" si="1">B21/80</f>
        <v>0.13750000000000001</v>
      </c>
      <c r="E21" t="s">
        <v>24</v>
      </c>
      <c r="F21" s="31">
        <v>0.13750000000000001</v>
      </c>
    </row>
    <row r="22" spans="1:6" x14ac:dyDescent="0.3">
      <c r="A22" t="s">
        <v>25</v>
      </c>
      <c r="B22">
        <v>21</v>
      </c>
      <c r="C22" s="30">
        <f t="shared" si="1"/>
        <v>0.26250000000000001</v>
      </c>
      <c r="E22" t="s">
        <v>25</v>
      </c>
      <c r="F22" s="31">
        <v>0.26250000000000001</v>
      </c>
    </row>
    <row r="23" spans="1:6" x14ac:dyDescent="0.3">
      <c r="A23" t="s">
        <v>26</v>
      </c>
      <c r="B23">
        <v>6</v>
      </c>
      <c r="C23" s="30">
        <f t="shared" si="1"/>
        <v>7.4999999999999997E-2</v>
      </c>
      <c r="E23" t="s">
        <v>26</v>
      </c>
      <c r="F23" s="31">
        <v>7.4999999999999997E-2</v>
      </c>
    </row>
    <row r="24" spans="1:6" x14ac:dyDescent="0.3">
      <c r="A24" t="s">
        <v>27</v>
      </c>
      <c r="B24">
        <v>0</v>
      </c>
      <c r="C24" s="30">
        <f t="shared" si="1"/>
        <v>0</v>
      </c>
      <c r="E24" t="s">
        <v>27</v>
      </c>
      <c r="F24" s="31">
        <v>0</v>
      </c>
    </row>
    <row r="25" spans="1:6" x14ac:dyDescent="0.3">
      <c r="A25" t="s">
        <v>39</v>
      </c>
      <c r="B25">
        <v>80</v>
      </c>
    </row>
    <row r="27" spans="1:6" x14ac:dyDescent="0.3">
      <c r="A27" t="s">
        <v>5</v>
      </c>
    </row>
    <row r="28" spans="1:6" x14ac:dyDescent="0.3">
      <c r="A28" t="s">
        <v>23</v>
      </c>
      <c r="B28">
        <v>67</v>
      </c>
      <c r="C28" s="30">
        <f>B28/80</f>
        <v>0.83750000000000002</v>
      </c>
      <c r="E28" t="s">
        <v>23</v>
      </c>
      <c r="F28" s="31">
        <v>0.83750000000000002</v>
      </c>
    </row>
    <row r="29" spans="1:6" x14ac:dyDescent="0.3">
      <c r="A29" t="s">
        <v>24</v>
      </c>
      <c r="B29">
        <v>9</v>
      </c>
      <c r="C29" s="30">
        <f t="shared" ref="C29:C32" si="2">B29/80</f>
        <v>0.1125</v>
      </c>
      <c r="E29" t="s">
        <v>24</v>
      </c>
      <c r="F29" s="31">
        <v>0.1125</v>
      </c>
    </row>
    <row r="30" spans="1:6" x14ac:dyDescent="0.3">
      <c r="A30" t="s">
        <v>25</v>
      </c>
      <c r="B30">
        <v>4</v>
      </c>
      <c r="C30" s="30">
        <f t="shared" si="2"/>
        <v>0.05</v>
      </c>
      <c r="E30" t="s">
        <v>25</v>
      </c>
      <c r="F30" s="31">
        <v>0.05</v>
      </c>
    </row>
    <row r="31" spans="1:6" x14ac:dyDescent="0.3">
      <c r="A31" t="s">
        <v>26</v>
      </c>
      <c r="B31">
        <v>0</v>
      </c>
      <c r="C31" s="30">
        <f t="shared" si="2"/>
        <v>0</v>
      </c>
      <c r="E31" t="s">
        <v>26</v>
      </c>
      <c r="F31" s="31">
        <v>0</v>
      </c>
    </row>
    <row r="32" spans="1:6" x14ac:dyDescent="0.3">
      <c r="A32" t="s">
        <v>27</v>
      </c>
      <c r="B32">
        <v>0</v>
      </c>
      <c r="C32" s="30">
        <f t="shared" si="2"/>
        <v>0</v>
      </c>
      <c r="E32" t="s">
        <v>27</v>
      </c>
      <c r="F32" s="31">
        <v>0</v>
      </c>
    </row>
    <row r="33" spans="1:6" x14ac:dyDescent="0.3">
      <c r="A33" t="s">
        <v>39</v>
      </c>
      <c r="B33">
        <v>80</v>
      </c>
    </row>
    <row r="36" spans="1:6" x14ac:dyDescent="0.3">
      <c r="A36" t="s">
        <v>39</v>
      </c>
    </row>
    <row r="37" spans="1:6" x14ac:dyDescent="0.3">
      <c r="A37" t="s">
        <v>23</v>
      </c>
      <c r="B37">
        <v>157</v>
      </c>
      <c r="C37" s="30">
        <f>B37/240</f>
        <v>0.65416666666666667</v>
      </c>
      <c r="E37" t="s">
        <v>23</v>
      </c>
      <c r="F37" s="31">
        <v>0.6542</v>
      </c>
    </row>
    <row r="38" spans="1:6" x14ac:dyDescent="0.3">
      <c r="A38" t="s">
        <v>24</v>
      </c>
      <c r="B38">
        <v>28</v>
      </c>
      <c r="C38" s="30">
        <f t="shared" ref="C38:C41" si="3">B38/240</f>
        <v>0.11666666666666667</v>
      </c>
      <c r="E38" t="s">
        <v>24</v>
      </c>
      <c r="F38" s="31">
        <v>0.1167</v>
      </c>
    </row>
    <row r="39" spans="1:6" x14ac:dyDescent="0.3">
      <c r="A39" t="s">
        <v>25</v>
      </c>
      <c r="B39">
        <v>46</v>
      </c>
      <c r="C39" s="30">
        <f t="shared" si="3"/>
        <v>0.19166666666666668</v>
      </c>
      <c r="E39" t="s">
        <v>25</v>
      </c>
      <c r="F39" s="31">
        <v>0.19170000000000001</v>
      </c>
    </row>
    <row r="40" spans="1:6" x14ac:dyDescent="0.3">
      <c r="A40" t="s">
        <v>26</v>
      </c>
      <c r="B40">
        <v>9</v>
      </c>
      <c r="C40" s="30">
        <f t="shared" si="3"/>
        <v>3.7499999999999999E-2</v>
      </c>
      <c r="E40" t="s">
        <v>26</v>
      </c>
      <c r="F40" s="31">
        <v>3.7499999999999999E-2</v>
      </c>
    </row>
    <row r="41" spans="1:6" x14ac:dyDescent="0.3">
      <c r="A41" t="s">
        <v>27</v>
      </c>
      <c r="B41">
        <v>0</v>
      </c>
      <c r="C41" s="30">
        <f t="shared" si="3"/>
        <v>0</v>
      </c>
      <c r="E41" t="s">
        <v>27</v>
      </c>
      <c r="F41" s="31">
        <v>0</v>
      </c>
    </row>
    <row r="42" spans="1:6" x14ac:dyDescent="0.3">
      <c r="A42" t="s">
        <v>39</v>
      </c>
      <c r="B42">
        <v>240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7578-CE14-467F-B49E-1B5F5D46ED93}">
  <dimension ref="A1:S42"/>
  <sheetViews>
    <sheetView workbookViewId="0">
      <selection activeCell="S28" sqref="S28"/>
    </sheetView>
  </sheetViews>
  <sheetFormatPr defaultRowHeight="14.4" x14ac:dyDescent="0.3"/>
  <sheetData>
    <row r="1" spans="1:19" x14ac:dyDescent="0.3">
      <c r="A1" s="4" t="s">
        <v>79</v>
      </c>
      <c r="M1" s="4" t="s">
        <v>66</v>
      </c>
    </row>
    <row r="2" spans="1:19" x14ac:dyDescent="0.3">
      <c r="A2" s="1" t="s">
        <v>2</v>
      </c>
      <c r="M2" s="1" t="s">
        <v>2</v>
      </c>
    </row>
    <row r="3" spans="1:19" x14ac:dyDescent="0.3">
      <c r="A3" s="1"/>
      <c r="B3" s="18" t="s">
        <v>23</v>
      </c>
      <c r="C3" s="18" t="s">
        <v>24</v>
      </c>
      <c r="D3" s="18" t="s">
        <v>25</v>
      </c>
      <c r="E3" s="18" t="s">
        <v>26</v>
      </c>
      <c r="F3" s="18" t="s">
        <v>27</v>
      </c>
      <c r="G3" s="18" t="s">
        <v>6</v>
      </c>
      <c r="M3" s="1"/>
      <c r="N3" s="18" t="s">
        <v>23</v>
      </c>
      <c r="O3" s="18" t="s">
        <v>24</v>
      </c>
      <c r="P3" s="18" t="s">
        <v>25</v>
      </c>
      <c r="Q3" s="18" t="s">
        <v>26</v>
      </c>
      <c r="R3" s="18" t="s">
        <v>27</v>
      </c>
      <c r="S3" s="18" t="s">
        <v>6</v>
      </c>
    </row>
    <row r="4" spans="1:19" x14ac:dyDescent="0.3">
      <c r="A4" t="s">
        <v>3</v>
      </c>
      <c r="B4" s="16">
        <v>78</v>
      </c>
      <c r="C4" s="16">
        <v>0</v>
      </c>
      <c r="D4" s="16">
        <v>2</v>
      </c>
      <c r="E4" s="16">
        <v>0</v>
      </c>
      <c r="F4" s="16">
        <v>0</v>
      </c>
      <c r="G4" s="16">
        <v>80</v>
      </c>
      <c r="M4" t="s">
        <v>3</v>
      </c>
      <c r="N4" s="33">
        <f>(78/80)</f>
        <v>0.97499999999999998</v>
      </c>
      <c r="O4" s="33">
        <v>0</v>
      </c>
      <c r="P4" s="33">
        <f>(2/80)</f>
        <v>2.5000000000000001E-2</v>
      </c>
      <c r="Q4" s="33">
        <v>0</v>
      </c>
      <c r="R4" s="33">
        <v>0</v>
      </c>
      <c r="S4" s="16">
        <v>80</v>
      </c>
    </row>
    <row r="5" spans="1:19" x14ac:dyDescent="0.3">
      <c r="A5" t="s">
        <v>4</v>
      </c>
      <c r="B5" s="16">
        <v>43</v>
      </c>
      <c r="C5" s="16">
        <v>20</v>
      </c>
      <c r="D5" s="16">
        <v>17</v>
      </c>
      <c r="E5" s="16">
        <f>0</f>
        <v>0</v>
      </c>
      <c r="F5" s="16">
        <f>0</f>
        <v>0</v>
      </c>
      <c r="G5" s="16">
        <v>80</v>
      </c>
      <c r="M5" t="s">
        <v>4</v>
      </c>
      <c r="N5" s="33">
        <f>(43/80)</f>
        <v>0.53749999999999998</v>
      </c>
      <c r="O5" s="33">
        <f>(20/80)</f>
        <v>0.25</v>
      </c>
      <c r="P5" s="33">
        <f>(17/80)</f>
        <v>0.21249999999999999</v>
      </c>
      <c r="Q5" s="33">
        <f>0</f>
        <v>0</v>
      </c>
      <c r="R5" s="33">
        <f>0</f>
        <v>0</v>
      </c>
      <c r="S5" s="16">
        <v>80</v>
      </c>
    </row>
    <row r="6" spans="1:19" x14ac:dyDescent="0.3">
      <c r="A6" t="s">
        <v>5</v>
      </c>
      <c r="B6" s="16">
        <v>50</v>
      </c>
      <c r="C6" s="16">
        <v>25</v>
      </c>
      <c r="D6" s="16">
        <v>5</v>
      </c>
      <c r="E6" s="16">
        <f>0</f>
        <v>0</v>
      </c>
      <c r="F6" s="16">
        <f>0</f>
        <v>0</v>
      </c>
      <c r="G6" s="16">
        <v>80</v>
      </c>
      <c r="M6" t="s">
        <v>5</v>
      </c>
      <c r="N6" s="33">
        <f>(50/80)</f>
        <v>0.625</v>
      </c>
      <c r="O6" s="33">
        <f>(25/80)</f>
        <v>0.3125</v>
      </c>
      <c r="P6" s="33">
        <f>(5/80)</f>
        <v>6.25E-2</v>
      </c>
      <c r="Q6" s="33">
        <f>0</f>
        <v>0</v>
      </c>
      <c r="R6" s="33">
        <f>0</f>
        <v>0</v>
      </c>
      <c r="S6" s="16">
        <v>80</v>
      </c>
    </row>
    <row r="7" spans="1:19" x14ac:dyDescent="0.3">
      <c r="A7" t="s">
        <v>6</v>
      </c>
      <c r="B7" s="16">
        <v>171</v>
      </c>
      <c r="C7" s="19">
        <v>45</v>
      </c>
      <c r="D7" s="16">
        <v>24</v>
      </c>
      <c r="E7" s="16">
        <f>0</f>
        <v>0</v>
      </c>
      <c r="F7" s="16">
        <f>0</f>
        <v>0</v>
      </c>
      <c r="G7" s="16">
        <v>240</v>
      </c>
      <c r="M7" t="s">
        <v>6</v>
      </c>
      <c r="N7" s="33">
        <f>(171/240)</f>
        <v>0.71250000000000002</v>
      </c>
      <c r="O7" s="35">
        <f>(45/240)</f>
        <v>0.1875</v>
      </c>
      <c r="P7" s="33">
        <f>(24/240)</f>
        <v>0.1</v>
      </c>
      <c r="Q7" s="33">
        <f>0</f>
        <v>0</v>
      </c>
      <c r="R7" s="33">
        <f>0</f>
        <v>0</v>
      </c>
      <c r="S7" s="16">
        <v>240</v>
      </c>
    </row>
    <row r="9" spans="1:19" x14ac:dyDescent="0.3">
      <c r="A9" t="s">
        <v>72</v>
      </c>
      <c r="B9" t="s">
        <v>80</v>
      </c>
    </row>
    <row r="10" spans="1:19" x14ac:dyDescent="0.3">
      <c r="A10" t="s">
        <v>3</v>
      </c>
      <c r="E10" t="s">
        <v>3</v>
      </c>
    </row>
    <row r="11" spans="1:19" x14ac:dyDescent="0.3">
      <c r="A11" t="s">
        <v>23</v>
      </c>
      <c r="B11">
        <v>78</v>
      </c>
      <c r="C11">
        <f>(B11/80)*100</f>
        <v>97.5</v>
      </c>
      <c r="E11" t="s">
        <v>23</v>
      </c>
      <c r="F11" s="21">
        <v>0.97499999999999998</v>
      </c>
    </row>
    <row r="12" spans="1:19" x14ac:dyDescent="0.3">
      <c r="A12" t="s">
        <v>24</v>
      </c>
      <c r="B12">
        <v>0</v>
      </c>
      <c r="C12">
        <f t="shared" ref="C12:C15" si="0">(B12/80)*100</f>
        <v>0</v>
      </c>
      <c r="E12" t="s">
        <v>24</v>
      </c>
      <c r="F12" s="22">
        <v>0</v>
      </c>
    </row>
    <row r="13" spans="1:19" x14ac:dyDescent="0.3">
      <c r="A13" t="s">
        <v>25</v>
      </c>
      <c r="B13">
        <v>2</v>
      </c>
      <c r="C13">
        <f t="shared" si="0"/>
        <v>2.5</v>
      </c>
      <c r="E13" t="s">
        <v>25</v>
      </c>
      <c r="F13" s="21">
        <v>2.5000000000000001E-2</v>
      </c>
    </row>
    <row r="14" spans="1:19" x14ac:dyDescent="0.3">
      <c r="A14" t="s">
        <v>26</v>
      </c>
      <c r="B14">
        <v>0</v>
      </c>
      <c r="C14">
        <f t="shared" si="0"/>
        <v>0</v>
      </c>
      <c r="E14" t="s">
        <v>26</v>
      </c>
      <c r="F14" s="22">
        <v>0</v>
      </c>
    </row>
    <row r="15" spans="1:19" x14ac:dyDescent="0.3">
      <c r="A15" t="s">
        <v>27</v>
      </c>
      <c r="B15">
        <v>0</v>
      </c>
      <c r="C15">
        <f t="shared" si="0"/>
        <v>0</v>
      </c>
      <c r="E15" t="s">
        <v>27</v>
      </c>
      <c r="F15" s="22">
        <v>0</v>
      </c>
    </row>
    <row r="16" spans="1:19" x14ac:dyDescent="0.3">
      <c r="A16" t="s">
        <v>39</v>
      </c>
      <c r="B16">
        <v>80</v>
      </c>
    </row>
    <row r="19" spans="1:6" x14ac:dyDescent="0.3">
      <c r="A19" t="s">
        <v>4</v>
      </c>
      <c r="E19" t="s">
        <v>4</v>
      </c>
    </row>
    <row r="20" spans="1:6" x14ac:dyDescent="0.3">
      <c r="A20" t="s">
        <v>23</v>
      </c>
      <c r="B20">
        <v>43</v>
      </c>
      <c r="C20">
        <f>(B20/80)*100</f>
        <v>53.75</v>
      </c>
      <c r="E20" t="s">
        <v>23</v>
      </c>
      <c r="F20" s="21">
        <v>0.53749999999999998</v>
      </c>
    </row>
    <row r="21" spans="1:6" x14ac:dyDescent="0.3">
      <c r="A21" t="s">
        <v>24</v>
      </c>
      <c r="B21">
        <v>20</v>
      </c>
      <c r="C21">
        <f t="shared" ref="C21:C24" si="1">(B21/80)*100</f>
        <v>25</v>
      </c>
      <c r="E21" t="s">
        <v>24</v>
      </c>
      <c r="F21" s="22">
        <v>0.25</v>
      </c>
    </row>
    <row r="22" spans="1:6" x14ac:dyDescent="0.3">
      <c r="A22" t="s">
        <v>25</v>
      </c>
      <c r="B22">
        <v>17</v>
      </c>
      <c r="C22">
        <f t="shared" si="1"/>
        <v>21.25</v>
      </c>
      <c r="E22" t="s">
        <v>25</v>
      </c>
      <c r="F22" s="21">
        <v>0.21249999999999999</v>
      </c>
    </row>
    <row r="23" spans="1:6" x14ac:dyDescent="0.3">
      <c r="A23" t="s">
        <v>26</v>
      </c>
      <c r="B23">
        <v>0</v>
      </c>
      <c r="C23">
        <f t="shared" si="1"/>
        <v>0</v>
      </c>
      <c r="E23" t="s">
        <v>26</v>
      </c>
      <c r="F23" s="22">
        <v>0</v>
      </c>
    </row>
    <row r="24" spans="1:6" x14ac:dyDescent="0.3">
      <c r="A24" t="s">
        <v>27</v>
      </c>
      <c r="B24">
        <v>0</v>
      </c>
      <c r="C24">
        <f t="shared" si="1"/>
        <v>0</v>
      </c>
      <c r="E24" t="s">
        <v>27</v>
      </c>
      <c r="F24" s="22">
        <v>0</v>
      </c>
    </row>
    <row r="25" spans="1:6" x14ac:dyDescent="0.3">
      <c r="A25" t="s">
        <v>39</v>
      </c>
      <c r="B25">
        <v>80</v>
      </c>
      <c r="E25" t="s">
        <v>39</v>
      </c>
    </row>
    <row r="27" spans="1:6" x14ac:dyDescent="0.3">
      <c r="A27" t="s">
        <v>5</v>
      </c>
      <c r="E27" t="s">
        <v>5</v>
      </c>
    </row>
    <row r="28" spans="1:6" x14ac:dyDescent="0.3">
      <c r="A28" t="s">
        <v>23</v>
      </c>
      <c r="B28">
        <v>50</v>
      </c>
      <c r="C28">
        <f>(B28/80)*100</f>
        <v>62.5</v>
      </c>
      <c r="E28" t="s">
        <v>23</v>
      </c>
      <c r="F28" s="21">
        <v>0.625</v>
      </c>
    </row>
    <row r="29" spans="1:6" x14ac:dyDescent="0.3">
      <c r="A29" t="s">
        <v>24</v>
      </c>
      <c r="B29">
        <v>25</v>
      </c>
      <c r="C29">
        <f t="shared" ref="C29:C32" si="2">(B29/80)*100</f>
        <v>31.25</v>
      </c>
      <c r="E29" t="s">
        <v>24</v>
      </c>
      <c r="F29" s="21">
        <v>0.3125</v>
      </c>
    </row>
    <row r="30" spans="1:6" x14ac:dyDescent="0.3">
      <c r="A30" t="s">
        <v>25</v>
      </c>
      <c r="B30">
        <v>5</v>
      </c>
      <c r="C30">
        <f t="shared" si="2"/>
        <v>6.25</v>
      </c>
      <c r="E30" t="s">
        <v>25</v>
      </c>
      <c r="F30" s="21">
        <v>6.25E-2</v>
      </c>
    </row>
    <row r="31" spans="1:6" x14ac:dyDescent="0.3">
      <c r="A31" t="s">
        <v>26</v>
      </c>
      <c r="B31">
        <v>0</v>
      </c>
      <c r="C31">
        <f t="shared" si="2"/>
        <v>0</v>
      </c>
      <c r="E31" t="s">
        <v>26</v>
      </c>
      <c r="F31" s="22">
        <v>0</v>
      </c>
    </row>
    <row r="32" spans="1:6" x14ac:dyDescent="0.3">
      <c r="A32" t="s">
        <v>27</v>
      </c>
      <c r="B32">
        <v>0</v>
      </c>
      <c r="C32">
        <f t="shared" si="2"/>
        <v>0</v>
      </c>
      <c r="E32" t="s">
        <v>27</v>
      </c>
      <c r="F32" s="22">
        <v>0</v>
      </c>
    </row>
    <row r="33" spans="1:6" x14ac:dyDescent="0.3">
      <c r="A33" t="s">
        <v>39</v>
      </c>
      <c r="B33">
        <v>80</v>
      </c>
      <c r="E33" t="s">
        <v>39</v>
      </c>
    </row>
    <row r="36" spans="1:6" x14ac:dyDescent="0.3">
      <c r="A36" t="s">
        <v>39</v>
      </c>
      <c r="E36" t="s">
        <v>39</v>
      </c>
    </row>
    <row r="37" spans="1:6" x14ac:dyDescent="0.3">
      <c r="A37" t="s">
        <v>23</v>
      </c>
      <c r="B37">
        <v>171</v>
      </c>
      <c r="C37">
        <f>(B37/240)*100</f>
        <v>71.25</v>
      </c>
      <c r="E37" t="s">
        <v>23</v>
      </c>
      <c r="F37" s="21">
        <v>0.71250000000000002</v>
      </c>
    </row>
    <row r="38" spans="1:6" x14ac:dyDescent="0.3">
      <c r="A38" t="s">
        <v>24</v>
      </c>
      <c r="B38">
        <v>45</v>
      </c>
      <c r="C38">
        <f t="shared" ref="C38:C41" si="3">(B38/240)*100</f>
        <v>18.75</v>
      </c>
      <c r="E38" t="s">
        <v>24</v>
      </c>
      <c r="F38" s="21">
        <v>0.1875</v>
      </c>
    </row>
    <row r="39" spans="1:6" x14ac:dyDescent="0.3">
      <c r="A39" t="s">
        <v>25</v>
      </c>
      <c r="B39">
        <v>24</v>
      </c>
      <c r="C39">
        <f t="shared" si="3"/>
        <v>10</v>
      </c>
      <c r="E39" t="s">
        <v>25</v>
      </c>
      <c r="F39" s="22">
        <v>0.1</v>
      </c>
    </row>
    <row r="40" spans="1:6" x14ac:dyDescent="0.3">
      <c r="A40" t="s">
        <v>26</v>
      </c>
      <c r="B40">
        <v>0</v>
      </c>
      <c r="C40">
        <f t="shared" si="3"/>
        <v>0</v>
      </c>
      <c r="E40" t="s">
        <v>26</v>
      </c>
      <c r="F40" s="22">
        <v>0</v>
      </c>
    </row>
    <row r="41" spans="1:6" x14ac:dyDescent="0.3">
      <c r="A41" t="s">
        <v>27</v>
      </c>
      <c r="B41">
        <v>0</v>
      </c>
      <c r="C41">
        <f t="shared" si="3"/>
        <v>0</v>
      </c>
      <c r="E41" t="s">
        <v>27</v>
      </c>
      <c r="F41" s="22">
        <v>0</v>
      </c>
    </row>
    <row r="42" spans="1:6" x14ac:dyDescent="0.3">
      <c r="A42" t="s">
        <v>39</v>
      </c>
      <c r="B42">
        <v>240</v>
      </c>
      <c r="E42" t="s">
        <v>39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A8F2-717F-4ED7-8AF3-C987B33D0821}">
  <dimension ref="A1:U88"/>
  <sheetViews>
    <sheetView tabSelected="1" topLeftCell="M40" workbookViewId="0">
      <selection activeCell="AF42" sqref="AF42"/>
    </sheetView>
  </sheetViews>
  <sheetFormatPr defaultRowHeight="14.4" x14ac:dyDescent="0.3"/>
  <cols>
    <col min="5" max="5" width="9.5546875" bestFit="1" customWidth="1"/>
  </cols>
  <sheetData>
    <row r="1" spans="1:21" x14ac:dyDescent="0.3">
      <c r="A1" t="s">
        <v>82</v>
      </c>
    </row>
    <row r="2" spans="1:21" x14ac:dyDescent="0.3">
      <c r="A2" t="s">
        <v>0</v>
      </c>
      <c r="B2" t="s">
        <v>82</v>
      </c>
    </row>
    <row r="3" spans="1:21" x14ac:dyDescent="0.3">
      <c r="A3" s="4" t="s">
        <v>14</v>
      </c>
      <c r="R3" t="s">
        <v>0</v>
      </c>
    </row>
    <row r="4" spans="1:21" x14ac:dyDescent="0.3">
      <c r="A4" s="1" t="s">
        <v>2</v>
      </c>
      <c r="M4" t="s">
        <v>83</v>
      </c>
      <c r="R4" t="s">
        <v>84</v>
      </c>
    </row>
    <row r="5" spans="1:21" x14ac:dyDescent="0.3">
      <c r="A5" s="1"/>
      <c r="B5" s="2">
        <v>1</v>
      </c>
      <c r="C5" s="2" t="s">
        <v>7</v>
      </c>
      <c r="D5" s="2" t="s">
        <v>8</v>
      </c>
      <c r="E5" s="2" t="s">
        <v>9</v>
      </c>
      <c r="F5" s="7">
        <v>2</v>
      </c>
      <c r="G5" s="2" t="s">
        <v>10</v>
      </c>
      <c r="H5" s="7" t="s">
        <v>11</v>
      </c>
      <c r="I5" s="2">
        <v>6</v>
      </c>
      <c r="J5" s="2">
        <v>13</v>
      </c>
      <c r="K5" s="2" t="s">
        <v>12</v>
      </c>
      <c r="M5" s="1"/>
      <c r="N5" s="2" t="s">
        <v>62</v>
      </c>
      <c r="O5" s="2">
        <v>13</v>
      </c>
      <c r="P5" s="2" t="s">
        <v>12</v>
      </c>
      <c r="R5" s="1"/>
      <c r="S5" s="2" t="s">
        <v>62</v>
      </c>
      <c r="T5" s="2">
        <v>13</v>
      </c>
      <c r="U5" s="2" t="s">
        <v>12</v>
      </c>
    </row>
    <row r="6" spans="1:21" x14ac:dyDescent="0.3">
      <c r="A6" t="s">
        <v>3</v>
      </c>
      <c r="B6" s="3">
        <v>0</v>
      </c>
      <c r="C6" s="3">
        <v>7</v>
      </c>
      <c r="D6" s="3">
        <v>2</v>
      </c>
      <c r="E6" s="3">
        <v>0</v>
      </c>
      <c r="F6" s="8">
        <v>28</v>
      </c>
      <c r="G6" s="3">
        <v>5</v>
      </c>
      <c r="H6" s="8">
        <v>32</v>
      </c>
      <c r="I6" s="3">
        <v>2</v>
      </c>
      <c r="J6" s="3">
        <v>4</v>
      </c>
      <c r="K6" s="3">
        <v>80</v>
      </c>
      <c r="M6" t="s">
        <v>3</v>
      </c>
      <c r="N6" s="3">
        <v>76</v>
      </c>
      <c r="O6" s="3">
        <v>4</v>
      </c>
      <c r="P6" s="3">
        <v>80</v>
      </c>
      <c r="R6" t="s">
        <v>3</v>
      </c>
      <c r="S6" s="40">
        <f>76/80</f>
        <v>0.95</v>
      </c>
      <c r="T6" s="40">
        <f>4/80</f>
        <v>0.05</v>
      </c>
      <c r="U6" s="3">
        <v>80</v>
      </c>
    </row>
    <row r="7" spans="1:21" x14ac:dyDescent="0.3">
      <c r="A7" t="s">
        <v>4</v>
      </c>
      <c r="B7" s="3">
        <v>5</v>
      </c>
      <c r="C7" s="3">
        <v>15</v>
      </c>
      <c r="D7" s="3">
        <v>0</v>
      </c>
      <c r="E7" s="3">
        <v>6</v>
      </c>
      <c r="F7" s="8">
        <v>22</v>
      </c>
      <c r="G7" s="3">
        <v>0</v>
      </c>
      <c r="H7" s="8">
        <v>32</v>
      </c>
      <c r="I7" s="3">
        <v>0</v>
      </c>
      <c r="J7" s="3">
        <v>0</v>
      </c>
      <c r="K7" s="3">
        <v>80</v>
      </c>
      <c r="M7" t="s">
        <v>4</v>
      </c>
      <c r="N7" s="3">
        <v>80</v>
      </c>
      <c r="O7" s="3">
        <v>0</v>
      </c>
      <c r="P7" s="3">
        <v>80</v>
      </c>
      <c r="R7" t="s">
        <v>4</v>
      </c>
      <c r="S7" s="40">
        <f>80/80</f>
        <v>1</v>
      </c>
      <c r="T7" s="40">
        <v>0</v>
      </c>
      <c r="U7" s="3">
        <v>80</v>
      </c>
    </row>
    <row r="8" spans="1:21" x14ac:dyDescent="0.3">
      <c r="A8" t="s">
        <v>5</v>
      </c>
      <c r="B8" s="3">
        <v>0</v>
      </c>
      <c r="C8" s="3">
        <v>17</v>
      </c>
      <c r="D8" s="3">
        <v>1</v>
      </c>
      <c r="E8" s="3">
        <v>2</v>
      </c>
      <c r="F8" s="8">
        <v>43</v>
      </c>
      <c r="G8" s="3">
        <v>6</v>
      </c>
      <c r="H8" s="8">
        <v>11</v>
      </c>
      <c r="I8" s="3">
        <v>0</v>
      </c>
      <c r="J8" s="3">
        <v>0</v>
      </c>
      <c r="K8" s="3">
        <v>80</v>
      </c>
      <c r="M8" t="s">
        <v>5</v>
      </c>
      <c r="N8" s="3">
        <v>80</v>
      </c>
      <c r="O8" s="3">
        <v>0</v>
      </c>
      <c r="P8" s="3">
        <v>80</v>
      </c>
      <c r="R8" t="s">
        <v>5</v>
      </c>
      <c r="S8" s="40">
        <f>80/80</f>
        <v>1</v>
      </c>
      <c r="T8" s="40">
        <v>0</v>
      </c>
      <c r="U8" s="3">
        <v>80</v>
      </c>
    </row>
    <row r="9" spans="1:21" x14ac:dyDescent="0.3">
      <c r="A9" t="s">
        <v>6</v>
      </c>
      <c r="B9" s="3">
        <v>5</v>
      </c>
      <c r="C9" s="3">
        <v>39</v>
      </c>
      <c r="D9" s="3">
        <v>3</v>
      </c>
      <c r="E9" s="3">
        <v>8</v>
      </c>
      <c r="F9" s="8">
        <v>93</v>
      </c>
      <c r="G9" s="3">
        <v>11</v>
      </c>
      <c r="H9" s="8">
        <v>75</v>
      </c>
      <c r="I9" s="3">
        <v>2</v>
      </c>
      <c r="J9" s="3">
        <v>4</v>
      </c>
      <c r="K9" s="3">
        <v>240</v>
      </c>
      <c r="M9" t="s">
        <v>6</v>
      </c>
      <c r="N9" s="3">
        <v>236</v>
      </c>
      <c r="O9" s="3">
        <v>4</v>
      </c>
      <c r="P9" s="3">
        <v>240</v>
      </c>
      <c r="R9" t="s">
        <v>6</v>
      </c>
      <c r="S9" s="40">
        <f>236/240</f>
        <v>0.98333333333333328</v>
      </c>
      <c r="T9" s="40">
        <f>4/240</f>
        <v>1.6666666666666666E-2</v>
      </c>
      <c r="U9" s="3">
        <v>240</v>
      </c>
    </row>
    <row r="11" spans="1:21" x14ac:dyDescent="0.3">
      <c r="A11" t="s">
        <v>3</v>
      </c>
      <c r="D11" t="s">
        <v>3</v>
      </c>
    </row>
    <row r="12" spans="1:21" x14ac:dyDescent="0.3">
      <c r="A12" t="s">
        <v>89</v>
      </c>
      <c r="B12" s="23">
        <v>76</v>
      </c>
      <c r="D12" t="s">
        <v>92</v>
      </c>
      <c r="E12" s="42">
        <f>76/80</f>
        <v>0.95</v>
      </c>
    </row>
    <row r="13" spans="1:21" x14ac:dyDescent="0.3">
      <c r="A13" t="s">
        <v>47</v>
      </c>
      <c r="B13" s="23">
        <v>4</v>
      </c>
      <c r="D13" t="s">
        <v>47</v>
      </c>
      <c r="E13" s="42">
        <f>4/80</f>
        <v>0.05</v>
      </c>
    </row>
    <row r="14" spans="1:21" x14ac:dyDescent="0.3">
      <c r="A14" t="s">
        <v>90</v>
      </c>
      <c r="B14" s="23">
        <v>80</v>
      </c>
      <c r="E14" s="23"/>
    </row>
    <row r="16" spans="1:21" x14ac:dyDescent="0.3">
      <c r="A16" t="s">
        <v>4</v>
      </c>
      <c r="D16" t="s">
        <v>4</v>
      </c>
    </row>
    <row r="17" spans="1:5" x14ac:dyDescent="0.3">
      <c r="A17" t="s">
        <v>62</v>
      </c>
      <c r="B17" s="23">
        <v>80</v>
      </c>
      <c r="D17" t="s">
        <v>93</v>
      </c>
      <c r="E17" s="29">
        <f>80/80</f>
        <v>1</v>
      </c>
    </row>
    <row r="18" spans="1:5" x14ac:dyDescent="0.3">
      <c r="A18" t="s">
        <v>47</v>
      </c>
      <c r="B18" s="23">
        <v>0</v>
      </c>
      <c r="D18" t="s">
        <v>47</v>
      </c>
      <c r="E18" s="29">
        <v>0</v>
      </c>
    </row>
    <row r="19" spans="1:5" x14ac:dyDescent="0.3">
      <c r="A19" t="s">
        <v>90</v>
      </c>
      <c r="B19" s="23">
        <v>80</v>
      </c>
    </row>
    <row r="21" spans="1:5" x14ac:dyDescent="0.3">
      <c r="A21" t="s">
        <v>88</v>
      </c>
      <c r="D21" t="s">
        <v>88</v>
      </c>
    </row>
    <row r="22" spans="1:5" x14ac:dyDescent="0.3">
      <c r="A22" t="s">
        <v>89</v>
      </c>
      <c r="B22" s="23">
        <v>80</v>
      </c>
      <c r="D22" t="s">
        <v>93</v>
      </c>
      <c r="E22" s="29">
        <v>1</v>
      </c>
    </row>
    <row r="23" spans="1:5" x14ac:dyDescent="0.3">
      <c r="A23" t="s">
        <v>47</v>
      </c>
      <c r="B23" s="23">
        <v>0</v>
      </c>
      <c r="D23" t="s">
        <v>47</v>
      </c>
      <c r="E23" s="29">
        <v>0</v>
      </c>
    </row>
    <row r="24" spans="1:5" x14ac:dyDescent="0.3">
      <c r="A24" t="s">
        <v>39</v>
      </c>
      <c r="B24" s="23">
        <v>80</v>
      </c>
    </row>
    <row r="26" spans="1:5" x14ac:dyDescent="0.3">
      <c r="A26" t="s">
        <v>67</v>
      </c>
      <c r="D26" t="s">
        <v>91</v>
      </c>
    </row>
    <row r="27" spans="1:5" x14ac:dyDescent="0.3">
      <c r="A27" t="s">
        <v>62</v>
      </c>
      <c r="B27" s="23">
        <v>236</v>
      </c>
      <c r="D27" t="s">
        <v>93</v>
      </c>
      <c r="E27" s="29">
        <f>236/240</f>
        <v>0.98333333333333328</v>
      </c>
    </row>
    <row r="28" spans="1:5" x14ac:dyDescent="0.3">
      <c r="A28" t="s">
        <v>47</v>
      </c>
      <c r="B28" s="23">
        <v>4</v>
      </c>
      <c r="D28" t="s">
        <v>47</v>
      </c>
      <c r="E28" s="29">
        <f>4/240</f>
        <v>1.6666666666666666E-2</v>
      </c>
    </row>
    <row r="29" spans="1:5" x14ac:dyDescent="0.3">
      <c r="A29" t="s">
        <v>12</v>
      </c>
      <c r="B29">
        <v>240</v>
      </c>
    </row>
    <row r="32" spans="1:5" x14ac:dyDescent="0.3">
      <c r="A32" t="s">
        <v>15</v>
      </c>
    </row>
    <row r="33" spans="1:21" x14ac:dyDescent="0.3">
      <c r="A33" s="4" t="s">
        <v>16</v>
      </c>
      <c r="R33" t="s">
        <v>85</v>
      </c>
    </row>
    <row r="34" spans="1:21" x14ac:dyDescent="0.3">
      <c r="A34" s="1" t="s">
        <v>2</v>
      </c>
      <c r="M34" t="s">
        <v>83</v>
      </c>
      <c r="R34" t="s">
        <v>84</v>
      </c>
    </row>
    <row r="35" spans="1:21" x14ac:dyDescent="0.3">
      <c r="A35" s="1"/>
      <c r="B35" s="2" t="s">
        <v>29</v>
      </c>
      <c r="C35" s="2" t="s">
        <v>30</v>
      </c>
      <c r="D35" s="2">
        <v>9</v>
      </c>
      <c r="E35" s="2" t="s">
        <v>31</v>
      </c>
      <c r="F35" s="2" t="s">
        <v>32</v>
      </c>
      <c r="G35" s="2" t="s">
        <v>33</v>
      </c>
      <c r="H35" s="2">
        <v>13</v>
      </c>
      <c r="I35" s="2" t="s">
        <v>12</v>
      </c>
      <c r="M35" s="1"/>
      <c r="N35" s="2" t="s">
        <v>61</v>
      </c>
      <c r="O35" s="2">
        <v>13</v>
      </c>
      <c r="P35" s="2" t="s">
        <v>12</v>
      </c>
      <c r="R35" s="1"/>
      <c r="S35" s="2" t="s">
        <v>61</v>
      </c>
      <c r="T35" s="2">
        <v>13</v>
      </c>
      <c r="U35" s="2" t="s">
        <v>12</v>
      </c>
    </row>
    <row r="36" spans="1:21" x14ac:dyDescent="0.3">
      <c r="A36" t="s">
        <v>3</v>
      </c>
      <c r="B36" s="3">
        <v>0</v>
      </c>
      <c r="C36" s="3">
        <v>0</v>
      </c>
      <c r="D36" s="8">
        <v>28</v>
      </c>
      <c r="E36" s="3">
        <v>0</v>
      </c>
      <c r="F36" s="3">
        <v>0</v>
      </c>
      <c r="G36" s="8">
        <v>2</v>
      </c>
      <c r="H36" s="8">
        <v>50</v>
      </c>
      <c r="I36" s="3">
        <v>80</v>
      </c>
      <c r="M36" t="s">
        <v>3</v>
      </c>
      <c r="N36" s="3">
        <v>30</v>
      </c>
      <c r="O36" s="8">
        <v>50</v>
      </c>
      <c r="P36" s="3">
        <v>80</v>
      </c>
      <c r="R36" t="s">
        <v>3</v>
      </c>
      <c r="S36" s="40">
        <f>30/80</f>
        <v>0.375</v>
      </c>
      <c r="T36" s="41">
        <f>50/80</f>
        <v>0.625</v>
      </c>
      <c r="U36" s="3">
        <v>80</v>
      </c>
    </row>
    <row r="37" spans="1:21" x14ac:dyDescent="0.3">
      <c r="A37" s="12" t="s">
        <v>4</v>
      </c>
      <c r="B37" s="3">
        <v>2</v>
      </c>
      <c r="C37" s="3">
        <v>2</v>
      </c>
      <c r="D37" s="8">
        <v>26</v>
      </c>
      <c r="E37" s="3">
        <v>1</v>
      </c>
      <c r="F37" s="3">
        <v>1</v>
      </c>
      <c r="G37" s="8">
        <v>34</v>
      </c>
      <c r="H37" s="8">
        <v>14</v>
      </c>
      <c r="I37" s="3">
        <v>80</v>
      </c>
      <c r="M37" s="12" t="s">
        <v>4</v>
      </c>
      <c r="N37" s="3">
        <v>66</v>
      </c>
      <c r="O37" s="8">
        <v>14</v>
      </c>
      <c r="P37" s="3">
        <v>80</v>
      </c>
      <c r="R37" s="12" t="s">
        <v>4</v>
      </c>
      <c r="S37" s="40">
        <f>66/80</f>
        <v>0.82499999999999996</v>
      </c>
      <c r="T37" s="41">
        <f>14/80</f>
        <v>0.17499999999999999</v>
      </c>
      <c r="U37" s="3">
        <v>80</v>
      </c>
    </row>
    <row r="38" spans="1:21" x14ac:dyDescent="0.3">
      <c r="A38" t="s">
        <v>5</v>
      </c>
      <c r="B38" s="3">
        <v>0</v>
      </c>
      <c r="C38" s="3">
        <v>0</v>
      </c>
      <c r="D38" s="8">
        <v>34</v>
      </c>
      <c r="E38" s="3">
        <v>0</v>
      </c>
      <c r="F38" s="3">
        <v>0</v>
      </c>
      <c r="G38" s="8">
        <v>30</v>
      </c>
      <c r="H38" s="8">
        <v>16</v>
      </c>
      <c r="I38" s="3">
        <v>80</v>
      </c>
      <c r="M38" t="s">
        <v>5</v>
      </c>
      <c r="N38" s="3">
        <v>64</v>
      </c>
      <c r="O38" s="8">
        <v>16</v>
      </c>
      <c r="P38" s="3">
        <v>80</v>
      </c>
      <c r="R38" t="s">
        <v>5</v>
      </c>
      <c r="S38" s="40">
        <f>64/80</f>
        <v>0.8</v>
      </c>
      <c r="T38" s="41">
        <f>16/80</f>
        <v>0.2</v>
      </c>
      <c r="U38" s="3">
        <v>80</v>
      </c>
    </row>
    <row r="39" spans="1:21" x14ac:dyDescent="0.3">
      <c r="A39" t="s">
        <v>6</v>
      </c>
      <c r="B39" s="3">
        <v>2</v>
      </c>
      <c r="C39" s="3">
        <v>2</v>
      </c>
      <c r="D39" s="8">
        <v>88</v>
      </c>
      <c r="E39" s="3">
        <v>1</v>
      </c>
      <c r="F39" s="3">
        <v>1</v>
      </c>
      <c r="G39" s="8">
        <v>66</v>
      </c>
      <c r="H39" s="8">
        <v>80</v>
      </c>
      <c r="I39" s="3">
        <v>240</v>
      </c>
      <c r="M39" t="s">
        <v>6</v>
      </c>
      <c r="N39" s="3">
        <v>160</v>
      </c>
      <c r="O39" s="8">
        <v>80</v>
      </c>
      <c r="P39" s="3">
        <v>240</v>
      </c>
      <c r="R39" t="s">
        <v>6</v>
      </c>
      <c r="S39" s="40">
        <f>160/240</f>
        <v>0.66666666666666663</v>
      </c>
      <c r="T39" s="41">
        <f>80/240</f>
        <v>0.33333333333333331</v>
      </c>
      <c r="U39" s="3">
        <v>240</v>
      </c>
    </row>
    <row r="41" spans="1:21" ht="15.6" x14ac:dyDescent="0.3">
      <c r="A41" t="s">
        <v>3</v>
      </c>
      <c r="D41" s="44" t="s">
        <v>3</v>
      </c>
      <c r="E41" s="44"/>
    </row>
    <row r="42" spans="1:21" ht="15.6" x14ac:dyDescent="0.3">
      <c r="A42" t="s">
        <v>89</v>
      </c>
      <c r="B42" s="23">
        <v>30</v>
      </c>
      <c r="D42" s="44" t="s">
        <v>93</v>
      </c>
      <c r="E42" s="45">
        <f>30/80</f>
        <v>0.375</v>
      </c>
    </row>
    <row r="43" spans="1:21" ht="15.6" x14ac:dyDescent="0.3">
      <c r="A43" t="s">
        <v>47</v>
      </c>
      <c r="B43" s="23">
        <v>50</v>
      </c>
      <c r="D43" s="44" t="s">
        <v>47</v>
      </c>
      <c r="E43" s="45">
        <f>50/80</f>
        <v>0.625</v>
      </c>
    </row>
    <row r="44" spans="1:21" ht="15.6" x14ac:dyDescent="0.3">
      <c r="A44" t="s">
        <v>90</v>
      </c>
      <c r="B44" s="23">
        <v>80</v>
      </c>
      <c r="D44" s="44"/>
      <c r="E44" s="46"/>
    </row>
    <row r="45" spans="1:21" ht="15.6" x14ac:dyDescent="0.3">
      <c r="D45" s="44"/>
      <c r="E45" s="44"/>
    </row>
    <row r="46" spans="1:21" ht="15.6" x14ac:dyDescent="0.3">
      <c r="A46" t="s">
        <v>4</v>
      </c>
      <c r="D46" s="44" t="s">
        <v>4</v>
      </c>
      <c r="E46" s="44"/>
    </row>
    <row r="47" spans="1:21" ht="15.6" x14ac:dyDescent="0.3">
      <c r="A47" t="s">
        <v>62</v>
      </c>
      <c r="B47" s="23">
        <v>66</v>
      </c>
      <c r="D47" s="44" t="s">
        <v>93</v>
      </c>
      <c r="E47" s="45">
        <f>66/80</f>
        <v>0.82499999999999996</v>
      </c>
    </row>
    <row r="48" spans="1:21" ht="15.6" x14ac:dyDescent="0.3">
      <c r="A48" t="s">
        <v>47</v>
      </c>
      <c r="B48" s="23">
        <v>14</v>
      </c>
      <c r="D48" s="44" t="s">
        <v>47</v>
      </c>
      <c r="E48" s="45">
        <f>14/80</f>
        <v>0.17499999999999999</v>
      </c>
    </row>
    <row r="49" spans="1:9" ht="15.6" x14ac:dyDescent="0.3">
      <c r="A49" t="s">
        <v>90</v>
      </c>
      <c r="B49" s="23">
        <v>80</v>
      </c>
      <c r="D49" s="44"/>
      <c r="E49" s="46"/>
    </row>
    <row r="50" spans="1:9" ht="15.6" x14ac:dyDescent="0.3">
      <c r="D50" s="44"/>
      <c r="E50" s="44"/>
    </row>
    <row r="51" spans="1:9" ht="15.6" x14ac:dyDescent="0.3">
      <c r="A51" t="s">
        <v>88</v>
      </c>
      <c r="D51" s="44" t="s">
        <v>88</v>
      </c>
      <c r="E51" s="44"/>
    </row>
    <row r="52" spans="1:9" ht="15.6" x14ac:dyDescent="0.3">
      <c r="A52" t="s">
        <v>89</v>
      </c>
      <c r="B52" s="23">
        <v>64</v>
      </c>
      <c r="D52" s="44" t="s">
        <v>93</v>
      </c>
      <c r="E52" s="45">
        <f>64/80</f>
        <v>0.8</v>
      </c>
    </row>
    <row r="53" spans="1:9" ht="15.6" x14ac:dyDescent="0.3">
      <c r="A53" t="s">
        <v>47</v>
      </c>
      <c r="B53" s="23">
        <v>16</v>
      </c>
      <c r="D53" s="44" t="s">
        <v>47</v>
      </c>
      <c r="E53" s="45">
        <f>16/80</f>
        <v>0.2</v>
      </c>
    </row>
    <row r="54" spans="1:9" ht="15.6" x14ac:dyDescent="0.3">
      <c r="A54" t="s">
        <v>39</v>
      </c>
      <c r="B54" s="23">
        <v>80</v>
      </c>
      <c r="D54" s="44"/>
      <c r="E54" s="46"/>
    </row>
    <row r="55" spans="1:9" ht="15.6" x14ac:dyDescent="0.3">
      <c r="D55" s="44"/>
      <c r="E55" s="44"/>
    </row>
    <row r="56" spans="1:9" ht="15.6" x14ac:dyDescent="0.3">
      <c r="A56" t="s">
        <v>67</v>
      </c>
      <c r="D56" s="44" t="s">
        <v>67</v>
      </c>
      <c r="E56" s="44"/>
    </row>
    <row r="57" spans="1:9" ht="15.6" x14ac:dyDescent="0.3">
      <c r="A57" t="s">
        <v>62</v>
      </c>
      <c r="B57" s="23">
        <v>160</v>
      </c>
      <c r="D57" s="44" t="s">
        <v>93</v>
      </c>
      <c r="E57" s="45">
        <f>160/240</f>
        <v>0.66666666666666663</v>
      </c>
    </row>
    <row r="58" spans="1:9" ht="15.6" x14ac:dyDescent="0.3">
      <c r="A58" t="s">
        <v>47</v>
      </c>
      <c r="B58" s="23">
        <v>80</v>
      </c>
      <c r="D58" s="44" t="s">
        <v>47</v>
      </c>
      <c r="E58" s="45">
        <f>80/240</f>
        <v>0.33333333333333331</v>
      </c>
    </row>
    <row r="59" spans="1:9" x14ac:dyDescent="0.3">
      <c r="A59" t="s">
        <v>12</v>
      </c>
      <c r="B59" s="23">
        <v>240</v>
      </c>
      <c r="E59" s="23"/>
    </row>
    <row r="63" spans="1:9" x14ac:dyDescent="0.3">
      <c r="A63" t="s">
        <v>87</v>
      </c>
      <c r="F63" t="s">
        <v>86</v>
      </c>
    </row>
    <row r="64" spans="1:9" x14ac:dyDescent="0.3">
      <c r="A64" s="1"/>
      <c r="B64" s="2" t="s">
        <v>62</v>
      </c>
      <c r="C64" s="2">
        <v>13</v>
      </c>
      <c r="D64" s="2" t="s">
        <v>12</v>
      </c>
      <c r="F64" s="1"/>
      <c r="G64" s="2" t="s">
        <v>62</v>
      </c>
      <c r="H64" s="2">
        <v>13</v>
      </c>
      <c r="I64" s="2" t="s">
        <v>12</v>
      </c>
    </row>
    <row r="65" spans="1:9" x14ac:dyDescent="0.3">
      <c r="A65" t="s">
        <v>3</v>
      </c>
      <c r="B65" s="3">
        <v>106</v>
      </c>
      <c r="C65" s="3">
        <v>54</v>
      </c>
      <c r="D65" s="3">
        <v>160</v>
      </c>
      <c r="F65" t="s">
        <v>3</v>
      </c>
      <c r="G65" s="40">
        <f>106/160</f>
        <v>0.66249999999999998</v>
      </c>
      <c r="H65" s="40">
        <f>54/160</f>
        <v>0.33750000000000002</v>
      </c>
      <c r="I65" s="3">
        <v>160</v>
      </c>
    </row>
    <row r="66" spans="1:9" x14ac:dyDescent="0.3">
      <c r="A66" t="s">
        <v>4</v>
      </c>
      <c r="B66" s="3">
        <v>146</v>
      </c>
      <c r="C66" s="3">
        <v>14</v>
      </c>
      <c r="D66" s="3">
        <v>160</v>
      </c>
      <c r="F66" t="s">
        <v>4</v>
      </c>
      <c r="G66" s="40">
        <f>146/160</f>
        <v>0.91249999999999998</v>
      </c>
      <c r="H66" s="40">
        <f>14/160</f>
        <v>8.7499999999999994E-2</v>
      </c>
      <c r="I66" s="3">
        <v>160</v>
      </c>
    </row>
    <row r="67" spans="1:9" x14ac:dyDescent="0.3">
      <c r="A67" t="s">
        <v>5</v>
      </c>
      <c r="B67" s="3">
        <v>144</v>
      </c>
      <c r="C67" s="3">
        <v>16</v>
      </c>
      <c r="D67" s="3">
        <v>160</v>
      </c>
      <c r="F67" t="s">
        <v>5</v>
      </c>
      <c r="G67" s="40">
        <f>144/160</f>
        <v>0.9</v>
      </c>
      <c r="H67" s="40">
        <f>16/160</f>
        <v>0.1</v>
      </c>
      <c r="I67" s="3">
        <v>160</v>
      </c>
    </row>
    <row r="68" spans="1:9" x14ac:dyDescent="0.3">
      <c r="A68" t="s">
        <v>6</v>
      </c>
      <c r="B68" s="3">
        <v>396</v>
      </c>
      <c r="C68" s="3">
        <v>84</v>
      </c>
      <c r="D68" s="3">
        <v>480</v>
      </c>
      <c r="F68" t="s">
        <v>6</v>
      </c>
      <c r="G68" s="40">
        <f>396/480</f>
        <v>0.82499999999999996</v>
      </c>
      <c r="H68" s="40">
        <f>84/480</f>
        <v>0.17499999999999999</v>
      </c>
      <c r="I68" s="3">
        <v>480</v>
      </c>
    </row>
    <row r="70" spans="1:9" x14ac:dyDescent="0.3">
      <c r="A70" t="s">
        <v>3</v>
      </c>
      <c r="D70" t="s">
        <v>3</v>
      </c>
    </row>
    <row r="71" spans="1:9" x14ac:dyDescent="0.3">
      <c r="A71" t="s">
        <v>89</v>
      </c>
      <c r="B71" s="23">
        <v>106</v>
      </c>
      <c r="D71" t="s">
        <v>93</v>
      </c>
      <c r="E71" s="42">
        <f>106/160</f>
        <v>0.66249999999999998</v>
      </c>
    </row>
    <row r="72" spans="1:9" x14ac:dyDescent="0.3">
      <c r="A72" t="s">
        <v>47</v>
      </c>
      <c r="B72" s="23">
        <v>54</v>
      </c>
      <c r="D72" t="s">
        <v>47</v>
      </c>
      <c r="E72" s="42">
        <f>54/160</f>
        <v>0.33750000000000002</v>
      </c>
    </row>
    <row r="73" spans="1:9" x14ac:dyDescent="0.3">
      <c r="A73" t="s">
        <v>90</v>
      </c>
      <c r="B73" s="23">
        <v>160</v>
      </c>
      <c r="E73" s="42"/>
    </row>
    <row r="74" spans="1:9" x14ac:dyDescent="0.3">
      <c r="B74" s="20"/>
      <c r="E74" s="43"/>
    </row>
    <row r="75" spans="1:9" x14ac:dyDescent="0.3">
      <c r="A75" t="s">
        <v>4</v>
      </c>
      <c r="B75" s="20"/>
      <c r="D75" t="s">
        <v>4</v>
      </c>
      <c r="E75" s="43"/>
    </row>
    <row r="76" spans="1:9" x14ac:dyDescent="0.3">
      <c r="A76" t="s">
        <v>62</v>
      </c>
      <c r="B76" s="20">
        <v>146</v>
      </c>
      <c r="D76" t="s">
        <v>93</v>
      </c>
      <c r="E76" s="43">
        <f>146/160</f>
        <v>0.91249999999999998</v>
      </c>
    </row>
    <row r="77" spans="1:9" x14ac:dyDescent="0.3">
      <c r="A77" t="s">
        <v>47</v>
      </c>
      <c r="B77" s="20">
        <v>14</v>
      </c>
      <c r="D77" t="s">
        <v>47</v>
      </c>
      <c r="E77" s="43">
        <f>14/160</f>
        <v>8.7499999999999994E-2</v>
      </c>
    </row>
    <row r="78" spans="1:9" x14ac:dyDescent="0.3">
      <c r="A78" t="s">
        <v>90</v>
      </c>
      <c r="B78" s="20">
        <v>160</v>
      </c>
      <c r="E78" s="43"/>
    </row>
    <row r="79" spans="1:9" x14ac:dyDescent="0.3">
      <c r="B79" s="20"/>
      <c r="E79" s="43"/>
    </row>
    <row r="80" spans="1:9" x14ac:dyDescent="0.3">
      <c r="A80" t="s">
        <v>88</v>
      </c>
      <c r="B80" s="20"/>
      <c r="D80" t="s">
        <v>88</v>
      </c>
      <c r="E80" s="43"/>
    </row>
    <row r="81" spans="1:5" x14ac:dyDescent="0.3">
      <c r="A81" t="s">
        <v>89</v>
      </c>
      <c r="B81" s="20">
        <v>144</v>
      </c>
      <c r="D81" t="s">
        <v>93</v>
      </c>
      <c r="E81" s="43">
        <f>144/160</f>
        <v>0.9</v>
      </c>
    </row>
    <row r="82" spans="1:5" x14ac:dyDescent="0.3">
      <c r="A82" t="s">
        <v>47</v>
      </c>
      <c r="B82" s="20">
        <v>16</v>
      </c>
      <c r="D82" t="s">
        <v>47</v>
      </c>
      <c r="E82" s="43">
        <f>16/160</f>
        <v>0.1</v>
      </c>
    </row>
    <row r="83" spans="1:5" x14ac:dyDescent="0.3">
      <c r="A83" t="s">
        <v>39</v>
      </c>
      <c r="B83" s="20">
        <v>160</v>
      </c>
      <c r="E83" s="43"/>
    </row>
    <row r="84" spans="1:5" x14ac:dyDescent="0.3">
      <c r="B84" s="20"/>
      <c r="E84" s="43"/>
    </row>
    <row r="85" spans="1:5" x14ac:dyDescent="0.3">
      <c r="A85" t="s">
        <v>67</v>
      </c>
      <c r="B85" s="20"/>
      <c r="D85" t="s">
        <v>91</v>
      </c>
      <c r="E85" s="43"/>
    </row>
    <row r="86" spans="1:5" x14ac:dyDescent="0.3">
      <c r="A86" t="s">
        <v>62</v>
      </c>
      <c r="B86" s="20">
        <v>396</v>
      </c>
      <c r="D86" t="s">
        <v>93</v>
      </c>
      <c r="E86" s="43">
        <f>396/480</f>
        <v>0.82499999999999996</v>
      </c>
    </row>
    <row r="87" spans="1:5" x14ac:dyDescent="0.3">
      <c r="A87" t="s">
        <v>47</v>
      </c>
      <c r="B87" s="20">
        <v>84</v>
      </c>
      <c r="D87" t="s">
        <v>47</v>
      </c>
      <c r="E87" s="43">
        <f>84/480</f>
        <v>0.17499999999999999</v>
      </c>
    </row>
    <row r="88" spans="1:5" x14ac:dyDescent="0.3">
      <c r="A88" t="s">
        <v>12</v>
      </c>
      <c r="B88" s="20">
        <v>480</v>
      </c>
      <c r="E88" s="20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Percents</vt:lpstr>
      <vt:lpstr>Pie Chart Mesial Roots</vt:lpstr>
      <vt:lpstr>Pie Chart Distal Roots</vt:lpstr>
      <vt:lpstr>Pie Chart Mesial Sec 5</vt:lpstr>
      <vt:lpstr>Pie Chart Section 12</vt:lpstr>
      <vt:lpstr>Pie Portion 5</vt:lpstr>
      <vt:lpstr>Pie Portion 12</vt:lpstr>
      <vt:lpstr>Pie Portion 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Littles</dc:creator>
  <cp:lastModifiedBy>VDOSNM</cp:lastModifiedBy>
  <cp:lastPrinted>2022-07-15T18:50:13Z</cp:lastPrinted>
  <dcterms:created xsi:type="dcterms:W3CDTF">2021-04-09T17:26:24Z</dcterms:created>
  <dcterms:modified xsi:type="dcterms:W3CDTF">2022-08-19T19:49:51Z</dcterms:modified>
</cp:coreProperties>
</file>